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ostieva_L\Desktop\Проект бюджета МО г.Владикавказа на 2021-2023 годы\"/>
    </mc:Choice>
  </mc:AlternateContent>
  <bookViews>
    <workbookView xWindow="0" yWindow="0" windowWidth="19320" windowHeight="11835" tabRatio="871" activeTab="4"/>
  </bookViews>
  <sheets>
    <sheet name="Доходы 2020 " sheetId="22" r:id="rId1"/>
    <sheet name=" Ведомственная 2020 " sheetId="20" r:id="rId2"/>
    <sheet name="Расходы 2020" sheetId="21" r:id="rId3"/>
    <sheet name="МП, ВЦП и НПР 2020" sheetId="8" r:id="rId4"/>
    <sheet name="Источники 2020" sheetId="14" r:id="rId5"/>
  </sheets>
  <definedNames>
    <definedName name="_xlnm._FilterDatabase" localSheetId="1" hidden="1">' Ведомственная 2020 '!$A$5:$L$922</definedName>
    <definedName name="_xlnm._FilterDatabase" localSheetId="3" hidden="1">'МП, ВЦП и НПР 2020'!$A$5:$F$975</definedName>
    <definedName name="_xlnm._FilterDatabase" localSheetId="2" hidden="1">'Расходы 2020'!$A$5:$K$765</definedName>
    <definedName name="_xlnm.Print_Titles" localSheetId="1">' Ведомственная 2020 '!$5:$5</definedName>
    <definedName name="_xlnm.Print_Titles" localSheetId="3">'МП, ВЦП и НПР 2020'!$5:$5</definedName>
    <definedName name="_xlnm.Print_Titles" localSheetId="2">'Расходы 2020'!$5:$5</definedName>
    <definedName name="_xlnm.Print_Area" localSheetId="1">' Ведомственная 2020 '!$A$1:$L$924</definedName>
    <definedName name="_xlnm.Print_Area" localSheetId="0">'Доходы 2020 '!$A$1:$F$68</definedName>
    <definedName name="_xlnm.Print_Area" localSheetId="3">'МП, ВЦП и НПР 2020'!$A$1:$I$978</definedName>
    <definedName name="_xlnm.Print_Area" localSheetId="2">'Расходы 2020'!$A$1:$K$767</definedName>
  </definedNames>
  <calcPr calcId="152511"/>
  <fileRecoveryPr autoRecover="0"/>
</workbook>
</file>

<file path=xl/calcChain.xml><?xml version="1.0" encoding="utf-8"?>
<calcChain xmlns="http://schemas.openxmlformats.org/spreadsheetml/2006/main">
  <c r="H300" i="8" l="1"/>
  <c r="H301" i="8"/>
  <c r="H283" i="8"/>
  <c r="H284" i="8"/>
  <c r="J517" i="21"/>
  <c r="J518" i="21"/>
  <c r="J499" i="21"/>
  <c r="J500" i="21"/>
  <c r="K791" i="20"/>
  <c r="K792" i="20"/>
  <c r="K777" i="20"/>
  <c r="K778" i="20"/>
  <c r="E30" i="14" l="1"/>
  <c r="H203" i="8"/>
  <c r="H588" i="8"/>
  <c r="H537" i="8"/>
  <c r="H489" i="8"/>
  <c r="H294" i="8"/>
  <c r="H277" i="8"/>
  <c r="H583" i="8"/>
  <c r="H516" i="8"/>
  <c r="H514" i="8"/>
  <c r="H553" i="8"/>
  <c r="H532" i="8"/>
  <c r="H898" i="8"/>
  <c r="H933" i="8"/>
  <c r="H398" i="8"/>
  <c r="H431" i="8"/>
  <c r="H91" i="8"/>
  <c r="H719" i="8"/>
  <c r="H920" i="8"/>
  <c r="H740" i="8"/>
  <c r="H925" i="8"/>
  <c r="J401" i="21"/>
  <c r="J372" i="21"/>
  <c r="J368" i="21"/>
  <c r="J305" i="21"/>
  <c r="J513" i="21"/>
  <c r="J495" i="21"/>
  <c r="J415" i="21"/>
  <c r="J365" i="21"/>
  <c r="J363" i="21"/>
  <c r="J325" i="21"/>
  <c r="J315" i="21"/>
  <c r="J151" i="21"/>
  <c r="J765" i="21"/>
  <c r="J651" i="21"/>
  <c r="J544" i="21"/>
  <c r="J205" i="21"/>
  <c r="J729" i="21"/>
  <c r="J446" i="21"/>
  <c r="J122" i="21"/>
  <c r="J563" i="21"/>
  <c r="K482" i="20"/>
  <c r="K680" i="20"/>
  <c r="K676" i="20"/>
  <c r="K632" i="20"/>
  <c r="E26" i="14"/>
  <c r="E17" i="14"/>
  <c r="E15" i="14"/>
  <c r="E10" i="14"/>
  <c r="K773" i="20" l="1"/>
  <c r="K787" i="20"/>
  <c r="K692" i="20"/>
  <c r="K671" i="20"/>
  <c r="K673" i="20"/>
  <c r="K652" i="20"/>
  <c r="K642" i="20"/>
  <c r="K739" i="20"/>
  <c r="K407" i="20"/>
  <c r="K368" i="20"/>
  <c r="K312" i="20"/>
  <c r="K283" i="20"/>
  <c r="K212" i="20"/>
  <c r="K224" i="20"/>
  <c r="K256" i="20"/>
  <c r="K249" i="20"/>
  <c r="K263" i="20"/>
  <c r="H97" i="8" l="1"/>
  <c r="J215" i="21"/>
  <c r="K322" i="20"/>
  <c r="E9" i="22"/>
  <c r="E29" i="14" l="1"/>
  <c r="E28" i="14" s="1"/>
  <c r="E27" i="14" s="1"/>
  <c r="E25" i="14"/>
  <c r="E24" i="14" s="1"/>
  <c r="E23" i="14" s="1"/>
  <c r="E20" i="14"/>
  <c r="E19" i="14" s="1"/>
  <c r="E18" i="14" s="1"/>
  <c r="E16" i="14"/>
  <c r="E14" i="14"/>
  <c r="E12" i="14"/>
  <c r="E11" i="14" s="1"/>
  <c r="H130" i="8"/>
  <c r="K345" i="20"/>
  <c r="K347" i="20"/>
  <c r="J238" i="21"/>
  <c r="J240" i="21"/>
  <c r="C10" i="14"/>
  <c r="I954" i="8"/>
  <c r="I949" i="8"/>
  <c r="I960" i="8"/>
  <c r="I965" i="8"/>
  <c r="I975" i="8"/>
  <c r="I970" i="8"/>
  <c r="I943" i="8"/>
  <c r="I938" i="8"/>
  <c r="I933" i="8"/>
  <c r="H812" i="8"/>
  <c r="I812" i="8" s="1"/>
  <c r="H810" i="8"/>
  <c r="I925" i="8"/>
  <c r="I927" i="8"/>
  <c r="I920" i="8"/>
  <c r="I915" i="8"/>
  <c r="H915" i="8"/>
  <c r="I904" i="8"/>
  <c r="I906" i="8"/>
  <c r="I908" i="8"/>
  <c r="I910" i="8"/>
  <c r="I898" i="8"/>
  <c r="I899" i="8"/>
  <c r="I893" i="8"/>
  <c r="I888" i="8"/>
  <c r="I883" i="8"/>
  <c r="H883" i="8"/>
  <c r="I874" i="8"/>
  <c r="I876" i="8"/>
  <c r="I878" i="8"/>
  <c r="I869" i="8"/>
  <c r="I818" i="8"/>
  <c r="I823" i="8"/>
  <c r="I825" i="8"/>
  <c r="I792" i="8"/>
  <c r="I794" i="8"/>
  <c r="I799" i="8"/>
  <c r="I801" i="8"/>
  <c r="H792" i="8"/>
  <c r="I810" i="8"/>
  <c r="I806" i="8"/>
  <c r="H806" i="8"/>
  <c r="I864" i="8"/>
  <c r="I859" i="8"/>
  <c r="I850" i="8"/>
  <c r="I852" i="8"/>
  <c r="I854" i="8"/>
  <c r="I845" i="8"/>
  <c r="H838" i="8"/>
  <c r="I836" i="8"/>
  <c r="I838" i="8"/>
  <c r="I840" i="8"/>
  <c r="H836" i="8"/>
  <c r="I831" i="8"/>
  <c r="I784" i="8"/>
  <c r="I786" i="8"/>
  <c r="H784" i="8"/>
  <c r="I779" i="8"/>
  <c r="I773" i="8"/>
  <c r="H766" i="8"/>
  <c r="I766" i="8" s="1"/>
  <c r="I762" i="8"/>
  <c r="I768" i="8"/>
  <c r="I757" i="8"/>
  <c r="I746" i="8"/>
  <c r="I751" i="8"/>
  <c r="I740" i="8"/>
  <c r="I726" i="8"/>
  <c r="I731" i="8"/>
  <c r="I733" i="8"/>
  <c r="H726" i="8"/>
  <c r="I719" i="8"/>
  <c r="I712" i="8"/>
  <c r="I706" i="8"/>
  <c r="H660" i="8"/>
  <c r="I660" i="8" s="1"/>
  <c r="I694" i="8"/>
  <c r="I699" i="8"/>
  <c r="I665" i="8"/>
  <c r="I670" i="8"/>
  <c r="I675" i="8"/>
  <c r="I680" i="8"/>
  <c r="I683" i="8"/>
  <c r="I686" i="8"/>
  <c r="I689" i="8"/>
  <c r="I655" i="8"/>
  <c r="I650" i="8"/>
  <c r="I645" i="8"/>
  <c r="H640" i="8"/>
  <c r="H633" i="8"/>
  <c r="I633" i="8" s="1"/>
  <c r="H628" i="8"/>
  <c r="I613" i="8"/>
  <c r="I618" i="8"/>
  <c r="I623" i="8"/>
  <c r="I628" i="8"/>
  <c r="I635" i="8"/>
  <c r="I640" i="8"/>
  <c r="I608" i="8"/>
  <c r="H608" i="8"/>
  <c r="H568" i="8"/>
  <c r="H566" i="8"/>
  <c r="H564" i="8"/>
  <c r="I600" i="8"/>
  <c r="I602" i="8"/>
  <c r="I543" i="8"/>
  <c r="I548" i="8"/>
  <c r="I553" i="8"/>
  <c r="I558" i="8"/>
  <c r="I564" i="8"/>
  <c r="I566" i="8"/>
  <c r="I568" i="8"/>
  <c r="I573" i="8"/>
  <c r="I578" i="8"/>
  <c r="I583" i="8"/>
  <c r="I588" i="8"/>
  <c r="I595" i="8"/>
  <c r="I532" i="8"/>
  <c r="I537" i="8"/>
  <c r="I527" i="8"/>
  <c r="H527" i="8"/>
  <c r="I522" i="8"/>
  <c r="H522" i="8"/>
  <c r="I516" i="8"/>
  <c r="H508" i="8"/>
  <c r="H503" i="8"/>
  <c r="I501" i="8"/>
  <c r="I503" i="8"/>
  <c r="I508" i="8"/>
  <c r="I514" i="8"/>
  <c r="I495" i="8"/>
  <c r="H495" i="8"/>
  <c r="I489" i="8"/>
  <c r="I479" i="8"/>
  <c r="I484" i="8"/>
  <c r="H470" i="8"/>
  <c r="I465" i="8"/>
  <c r="I470" i="8"/>
  <c r="I472" i="8"/>
  <c r="H465" i="8"/>
  <c r="I457" i="8"/>
  <c r="I447" i="8"/>
  <c r="I452" i="8"/>
  <c r="I442" i="8"/>
  <c r="H442" i="8"/>
  <c r="I437" i="8"/>
  <c r="H437" i="8"/>
  <c r="I431" i="8"/>
  <c r="I424" i="8"/>
  <c r="I413" i="8"/>
  <c r="I391" i="8"/>
  <c r="H389" i="8"/>
  <c r="H384" i="8"/>
  <c r="H371" i="8"/>
  <c r="I376" i="8"/>
  <c r="I366" i="8"/>
  <c r="I360" i="8"/>
  <c r="I365" i="8"/>
  <c r="I354" i="8"/>
  <c r="H352" i="8"/>
  <c r="H347" i="8"/>
  <c r="I342" i="8"/>
  <c r="H340" i="8"/>
  <c r="H338" i="8"/>
  <c r="I324" i="8"/>
  <c r="I325" i="8"/>
  <c r="I330" i="8"/>
  <c r="I331" i="8"/>
  <c r="H319" i="8"/>
  <c r="H318" i="8"/>
  <c r="H313" i="8"/>
  <c r="H312" i="8"/>
  <c r="I300" i="8"/>
  <c r="I301" i="8"/>
  <c r="I306" i="8"/>
  <c r="I307" i="8"/>
  <c r="H295" i="8"/>
  <c r="I283" i="8"/>
  <c r="I284" i="8"/>
  <c r="I289" i="8"/>
  <c r="I278" i="8"/>
  <c r="I270" i="8"/>
  <c r="I243" i="8"/>
  <c r="I248" i="8"/>
  <c r="I253" i="8"/>
  <c r="I258" i="8"/>
  <c r="H208" i="8"/>
  <c r="H198" i="8"/>
  <c r="H196" i="8"/>
  <c r="H194" i="8"/>
  <c r="I189" i="8"/>
  <c r="H184" i="8"/>
  <c r="H179" i="8"/>
  <c r="I174" i="8"/>
  <c r="I169" i="8"/>
  <c r="I159" i="8"/>
  <c r="H154" i="8"/>
  <c r="H220" i="8"/>
  <c r="I222" i="8"/>
  <c r="I227" i="8"/>
  <c r="I232" i="8"/>
  <c r="I237" i="8"/>
  <c r="H215" i="8"/>
  <c r="H148" i="8"/>
  <c r="H143" i="8"/>
  <c r="H141" i="8"/>
  <c r="H139" i="8"/>
  <c r="H116" i="8"/>
  <c r="H111" i="8"/>
  <c r="H109" i="8"/>
  <c r="H104" i="8"/>
  <c r="I73" i="8"/>
  <c r="I78" i="8"/>
  <c r="I80" i="8"/>
  <c r="I85" i="8"/>
  <c r="I91" i="8"/>
  <c r="I99" i="8"/>
  <c r="I123" i="8"/>
  <c r="I125" i="8"/>
  <c r="I132" i="8"/>
  <c r="I66" i="8"/>
  <c r="I60" i="8"/>
  <c r="I55" i="8"/>
  <c r="I44" i="8"/>
  <c r="I49" i="8"/>
  <c r="H34" i="8"/>
  <c r="I39" i="8"/>
  <c r="I29" i="8"/>
  <c r="H24" i="8"/>
  <c r="I13" i="8"/>
  <c r="I18" i="8"/>
  <c r="E22" i="14" l="1"/>
  <c r="E13" i="14"/>
  <c r="E9" i="14"/>
  <c r="E8" i="14" s="1"/>
  <c r="K733" i="20"/>
  <c r="J675" i="21"/>
  <c r="J678" i="21"/>
  <c r="J617" i="21"/>
  <c r="J422" i="21"/>
  <c r="J281" i="21"/>
  <c r="J632" i="21"/>
  <c r="K176" i="20"/>
  <c r="J748" i="21"/>
  <c r="J669" i="21"/>
  <c r="J666" i="21"/>
  <c r="J657" i="21"/>
  <c r="J654" i="21"/>
  <c r="J625" i="21"/>
  <c r="J608" i="21"/>
  <c r="J602" i="21"/>
  <c r="J599" i="21"/>
  <c r="J591" i="21"/>
  <c r="J588" i="21"/>
  <c r="J583" i="21"/>
  <c r="J581" i="21"/>
  <c r="J576" i="21"/>
  <c r="J575" i="21"/>
  <c r="J572" i="21"/>
  <c r="J571" i="21"/>
  <c r="J550" i="21"/>
  <c r="J514" i="21"/>
  <c r="J486" i="21"/>
  <c r="J483" i="21"/>
  <c r="J478" i="21"/>
  <c r="J476" i="21"/>
  <c r="J474" i="21"/>
  <c r="J468" i="21"/>
  <c r="J465" i="21"/>
  <c r="J456" i="21"/>
  <c r="J453" i="21"/>
  <c r="J404" i="21"/>
  <c r="J395" i="21"/>
  <c r="J377" i="21"/>
  <c r="J359" i="21"/>
  <c r="J356" i="21"/>
  <c r="J332" i="21"/>
  <c r="J312" i="21"/>
  <c r="J309" i="21"/>
  <c r="J289" i="21"/>
  <c r="J286" i="21"/>
  <c r="J274" i="21"/>
  <c r="J252" i="21"/>
  <c r="J249" i="21"/>
  <c r="J247" i="21"/>
  <c r="J245" i="21"/>
  <c r="J228" i="21"/>
  <c r="J220" i="21"/>
  <c r="J196" i="21"/>
  <c r="J190" i="21"/>
  <c r="J188" i="21"/>
  <c r="J186" i="21"/>
  <c r="J174" i="21"/>
  <c r="J172" i="21"/>
  <c r="J152" i="21"/>
  <c r="J140" i="21"/>
  <c r="J138" i="21"/>
  <c r="J130" i="21"/>
  <c r="J128" i="21"/>
  <c r="J96" i="21"/>
  <c r="J90" i="21"/>
  <c r="J64" i="21"/>
  <c r="J57" i="21"/>
  <c r="J54" i="21"/>
  <c r="J42" i="21"/>
  <c r="J40" i="21"/>
  <c r="J37" i="21"/>
  <c r="J23" i="21"/>
  <c r="J20" i="21"/>
  <c r="J754" i="21"/>
  <c r="J759" i="21"/>
  <c r="J739" i="21"/>
  <c r="J736" i="21"/>
  <c r="J724" i="21"/>
  <c r="J697" i="21"/>
  <c r="E7" i="14" l="1"/>
  <c r="E64" i="22"/>
  <c r="D64" i="22"/>
  <c r="F63" i="22"/>
  <c r="F62" i="22"/>
  <c r="F61" i="22"/>
  <c r="E60" i="22"/>
  <c r="E57" i="22" s="1"/>
  <c r="D60" i="22"/>
  <c r="D57" i="22" s="1"/>
  <c r="C60" i="22"/>
  <c r="C57" i="22" s="1"/>
  <c r="F59" i="22"/>
  <c r="F58" i="22"/>
  <c r="F56" i="22"/>
  <c r="F55" i="22"/>
  <c r="F54" i="22"/>
  <c r="F53" i="22"/>
  <c r="E52" i="22"/>
  <c r="C52" i="22"/>
  <c r="C51" i="22"/>
  <c r="C49" i="22" s="1"/>
  <c r="C48" i="22" s="1"/>
  <c r="C50" i="22"/>
  <c r="F50" i="22" s="1"/>
  <c r="D49" i="22"/>
  <c r="D48" i="22" s="1"/>
  <c r="F47" i="22"/>
  <c r="F46" i="22"/>
  <c r="F45" i="22"/>
  <c r="F44" i="22"/>
  <c r="F43" i="22"/>
  <c r="F42" i="22"/>
  <c r="F41" i="22"/>
  <c r="E40" i="22"/>
  <c r="C40" i="22"/>
  <c r="C39" i="22" s="1"/>
  <c r="D39" i="22"/>
  <c r="F38" i="22"/>
  <c r="F37" i="22"/>
  <c r="E36" i="22"/>
  <c r="F36" i="22" s="1"/>
  <c r="D36" i="22"/>
  <c r="C36" i="22"/>
  <c r="F33" i="22"/>
  <c r="F32" i="22"/>
  <c r="F31" i="22"/>
  <c r="F30" i="22"/>
  <c r="E29" i="22"/>
  <c r="F29" i="22" s="1"/>
  <c r="D29" i="22"/>
  <c r="C29" i="22"/>
  <c r="F28" i="22"/>
  <c r="F27" i="22"/>
  <c r="F26" i="22"/>
  <c r="E26" i="22"/>
  <c r="D26" i="22"/>
  <c r="C26" i="22"/>
  <c r="F25" i="22"/>
  <c r="F24" i="22"/>
  <c r="F23" i="22"/>
  <c r="F22" i="22"/>
  <c r="F21" i="22"/>
  <c r="E21" i="22"/>
  <c r="D21" i="22"/>
  <c r="C21" i="22"/>
  <c r="F20" i="22"/>
  <c r="C19" i="22"/>
  <c r="F19" i="22" s="1"/>
  <c r="C18" i="22"/>
  <c r="C16" i="22" s="1"/>
  <c r="F17" i="22"/>
  <c r="E16" i="22"/>
  <c r="D16" i="22"/>
  <c r="F15" i="22"/>
  <c r="F14" i="22"/>
  <c r="F13" i="22"/>
  <c r="C12" i="22"/>
  <c r="F12" i="22" s="1"/>
  <c r="E11" i="22"/>
  <c r="D11" i="22"/>
  <c r="F10" i="22"/>
  <c r="F9" i="22"/>
  <c r="D9" i="22"/>
  <c r="C9" i="22"/>
  <c r="C8" i="22"/>
  <c r="F8" i="22" s="1"/>
  <c r="E7" i="22"/>
  <c r="D7" i="22"/>
  <c r="D6" i="22"/>
  <c r="C7" i="22" l="1"/>
  <c r="C6" i="22" s="1"/>
  <c r="F11" i="22"/>
  <c r="F40" i="22"/>
  <c r="F52" i="22"/>
  <c r="E6" i="22"/>
  <c r="C11" i="22"/>
  <c r="F16" i="22"/>
  <c r="F57" i="22"/>
  <c r="C35" i="22"/>
  <c r="C34" i="22" s="1"/>
  <c r="D35" i="22"/>
  <c r="D34" i="22" s="1"/>
  <c r="D66" i="22" s="1"/>
  <c r="E49" i="22"/>
  <c r="F7" i="22"/>
  <c r="F51" i="22"/>
  <c r="F18" i="22"/>
  <c r="E39" i="22"/>
  <c r="F6" i="22" l="1"/>
  <c r="F39" i="22"/>
  <c r="E48" i="22"/>
  <c r="F48" i="22" s="1"/>
  <c r="F49" i="22"/>
  <c r="C66" i="22"/>
  <c r="E35" i="22" l="1"/>
  <c r="E34" i="22" l="1"/>
  <c r="F35" i="22"/>
  <c r="K20" i="20"/>
  <c r="K587" i="20"/>
  <c r="K599" i="20"/>
  <c r="K604" i="20"/>
  <c r="K602" i="20"/>
  <c r="K590" i="20"/>
  <c r="K593" i="20"/>
  <c r="K549" i="20"/>
  <c r="K520" i="20"/>
  <c r="K395" i="20"/>
  <c r="K278" i="20"/>
  <c r="F34" i="22" l="1"/>
  <c r="E66" i="22"/>
  <c r="F66" i="22" s="1"/>
  <c r="K921" i="20"/>
  <c r="K915" i="20"/>
  <c r="K914" i="20"/>
  <c r="K913" i="20" s="1"/>
  <c r="K911" i="20"/>
  <c r="K910" i="20" s="1"/>
  <c r="K909" i="20" s="1"/>
  <c r="K902" i="20"/>
  <c r="K896" i="20"/>
  <c r="K895" i="20"/>
  <c r="K894" i="20" s="1"/>
  <c r="K892" i="20"/>
  <c r="K891" i="20" s="1"/>
  <c r="K885" i="20"/>
  <c r="K877" i="20"/>
  <c r="K876" i="20"/>
  <c r="K870" i="20"/>
  <c r="K868" i="20"/>
  <c r="K867" i="20" s="1"/>
  <c r="K860" i="20"/>
  <c r="K859" i="20"/>
  <c r="K858" i="20" s="1"/>
  <c r="K856" i="20"/>
  <c r="K855" i="20" s="1"/>
  <c r="K849" i="20"/>
  <c r="K848" i="20"/>
  <c r="K847" i="20" s="1"/>
  <c r="K846" i="20"/>
  <c r="K845" i="20"/>
  <c r="K843" i="20"/>
  <c r="K842" i="20" s="1"/>
  <c r="K841" i="20"/>
  <c r="K840" i="20" s="1"/>
  <c r="K837" i="20"/>
  <c r="K836" i="20"/>
  <c r="K835" i="20" s="1"/>
  <c r="K834" i="20"/>
  <c r="K833" i="20" s="1"/>
  <c r="K829" i="20"/>
  <c r="K828" i="20"/>
  <c r="K827" i="20" s="1"/>
  <c r="K825" i="20"/>
  <c r="K824" i="20"/>
  <c r="K817" i="20"/>
  <c r="K810" i="20"/>
  <c r="K809" i="20" s="1"/>
  <c r="K803" i="20"/>
  <c r="K798" i="20"/>
  <c r="K797" i="20" s="1"/>
  <c r="K794" i="20"/>
  <c r="K790" i="20"/>
  <c r="K788" i="20"/>
  <c r="K780" i="20"/>
  <c r="K776" i="20"/>
  <c r="K772" i="20"/>
  <c r="K765" i="20"/>
  <c r="K764" i="20" s="1"/>
  <c r="K757" i="20"/>
  <c r="K752" i="20"/>
  <c r="K751" i="20" s="1"/>
  <c r="K750" i="20"/>
  <c r="K749" i="20" s="1"/>
  <c r="K747" i="20"/>
  <c r="K746" i="20" s="1"/>
  <c r="K738" i="20"/>
  <c r="K732" i="20"/>
  <c r="K727" i="20"/>
  <c r="K725" i="20"/>
  <c r="K723" i="20"/>
  <c r="K722" i="20" s="1"/>
  <c r="K721" i="20"/>
  <c r="K720" i="20"/>
  <c r="K713" i="20"/>
  <c r="K712" i="20" s="1"/>
  <c r="K711" i="20"/>
  <c r="K710" i="20"/>
  <c r="K709" i="20"/>
  <c r="K708" i="20" s="1"/>
  <c r="K704" i="20"/>
  <c r="K703" i="20"/>
  <c r="K702" i="20" s="1"/>
  <c r="K700" i="20"/>
  <c r="K699" i="20" s="1"/>
  <c r="K691" i="20"/>
  <c r="K688" i="20"/>
  <c r="K685" i="20"/>
  <c r="K679" i="20"/>
  <c r="K675" i="20"/>
  <c r="K672" i="20"/>
  <c r="K670" i="20"/>
  <c r="K667" i="20"/>
  <c r="K666" i="20" s="1"/>
  <c r="K664" i="20"/>
  <c r="K663" i="20" s="1"/>
  <c r="K661" i="20"/>
  <c r="K654" i="20"/>
  <c r="K651" i="20"/>
  <c r="K648" i="20"/>
  <c r="K645" i="20"/>
  <c r="K641" i="20"/>
  <c r="K639" i="20"/>
  <c r="K638" i="20" s="1"/>
  <c r="K636" i="20"/>
  <c r="K635" i="20" s="1"/>
  <c r="K631" i="20"/>
  <c r="K628" i="20"/>
  <c r="K625" i="20"/>
  <c r="K619" i="20"/>
  <c r="K618" i="20"/>
  <c r="K610" i="20"/>
  <c r="K603" i="20"/>
  <c r="K601" i="20"/>
  <c r="K598" i="20"/>
  <c r="K592" i="20"/>
  <c r="K589" i="20"/>
  <c r="K586" i="20"/>
  <c r="K584" i="20"/>
  <c r="K583" i="20" s="1"/>
  <c r="K579" i="20"/>
  <c r="K578" i="20" s="1"/>
  <c r="K572" i="20"/>
  <c r="K571" i="20"/>
  <c r="K570" i="20" s="1"/>
  <c r="K568" i="20"/>
  <c r="K567" i="20" s="1"/>
  <c r="K560" i="20"/>
  <c r="K557" i="20"/>
  <c r="K554" i="20"/>
  <c r="K551" i="20"/>
  <c r="K548" i="20"/>
  <c r="K545" i="20"/>
  <c r="K540" i="20"/>
  <c r="K537" i="20"/>
  <c r="K534" i="20"/>
  <c r="K531" i="20"/>
  <c r="K529" i="20"/>
  <c r="K528" i="20" s="1"/>
  <c r="K522" i="20"/>
  <c r="K519" i="20"/>
  <c r="K512" i="20"/>
  <c r="K509" i="20"/>
  <c r="K503" i="20"/>
  <c r="K502" i="20"/>
  <c r="K501" i="20" s="1"/>
  <c r="K499" i="20"/>
  <c r="K498" i="20" s="1"/>
  <c r="K491" i="20"/>
  <c r="K488" i="20"/>
  <c r="K485" i="20"/>
  <c r="K484" i="20" s="1"/>
  <c r="K481" i="20"/>
  <c r="K478" i="20"/>
  <c r="K476" i="20"/>
  <c r="K475" i="20" s="1"/>
  <c r="K473" i="20"/>
  <c r="K472" i="20"/>
  <c r="K469" i="20"/>
  <c r="K466" i="20"/>
  <c r="K464" i="20"/>
  <c r="K463" i="20" s="1"/>
  <c r="K461" i="20"/>
  <c r="K460" i="20" s="1"/>
  <c r="K458" i="20"/>
  <c r="K457" i="20" s="1"/>
  <c r="K455" i="20"/>
  <c r="K454" i="20"/>
  <c r="K449" i="20"/>
  <c r="K444" i="20"/>
  <c r="K443" i="20" s="1"/>
  <c r="K442" i="20"/>
  <c r="K441" i="20"/>
  <c r="K440" i="20"/>
  <c r="K439" i="20" s="1"/>
  <c r="K432" i="20"/>
  <c r="K431" i="20"/>
  <c r="K430" i="20" s="1"/>
  <c r="K428" i="20"/>
  <c r="K427" i="20" s="1"/>
  <c r="K421" i="20"/>
  <c r="K419" i="20"/>
  <c r="K418" i="20" s="1"/>
  <c r="K416" i="20"/>
  <c r="K415" i="20"/>
  <c r="K413" i="20"/>
  <c r="K412" i="20" s="1"/>
  <c r="K410" i="20"/>
  <c r="K409" i="20" s="1"/>
  <c r="K406" i="20"/>
  <c r="K400" i="20"/>
  <c r="K397" i="20"/>
  <c r="K394" i="20"/>
  <c r="K390" i="20"/>
  <c r="K388" i="20"/>
  <c r="K387" i="20" s="1"/>
  <c r="K379" i="20"/>
  <c r="K377" i="20"/>
  <c r="K376" i="20" s="1"/>
  <c r="K374" i="20"/>
  <c r="K373" i="20"/>
  <c r="K367" i="20"/>
  <c r="K359" i="20"/>
  <c r="K358" i="20"/>
  <c r="K356" i="20"/>
  <c r="K355" i="20" s="1"/>
  <c r="K354" i="20"/>
  <c r="K353" i="20" s="1"/>
  <c r="K352" i="20"/>
  <c r="K351" i="20" s="1"/>
  <c r="K346" i="20"/>
  <c r="K344" i="20"/>
  <c r="K341" i="20"/>
  <c r="K339" i="20"/>
  <c r="K337" i="20"/>
  <c r="K336" i="20" s="1"/>
  <c r="K335" i="20"/>
  <c r="K334" i="20" s="1"/>
  <c r="K332" i="20"/>
  <c r="K331" i="20" s="1"/>
  <c r="K330" i="20"/>
  <c r="K329" i="20"/>
  <c r="K327" i="20"/>
  <c r="K326" i="20" s="1"/>
  <c r="K323" i="20"/>
  <c r="K321" i="20"/>
  <c r="K317" i="20"/>
  <c r="K311" i="20"/>
  <c r="K307" i="20"/>
  <c r="K305" i="20"/>
  <c r="K303" i="20"/>
  <c r="K302" i="20"/>
  <c r="K294" i="20"/>
  <c r="K293" i="20"/>
  <c r="K292" i="20" s="1"/>
  <c r="K290" i="20"/>
  <c r="K289" i="20"/>
  <c r="K282" i="20"/>
  <c r="K277" i="20"/>
  <c r="K270" i="20"/>
  <c r="K262" i="20"/>
  <c r="K255" i="20"/>
  <c r="K248" i="20"/>
  <c r="K242" i="20"/>
  <c r="K236" i="20"/>
  <c r="K235" i="20"/>
  <c r="K234" i="20" s="1"/>
  <c r="K232" i="20"/>
  <c r="K231" i="20"/>
  <c r="K223" i="20"/>
  <c r="K216" i="20"/>
  <c r="K211" i="20"/>
  <c r="K205" i="20"/>
  <c r="K200" i="20"/>
  <c r="K199" i="20" s="1"/>
  <c r="K198" i="20"/>
  <c r="K197" i="20" s="1"/>
  <c r="K195" i="20"/>
  <c r="K194" i="20"/>
  <c r="K187" i="20"/>
  <c r="K186" i="20" s="1"/>
  <c r="K182" i="20"/>
  <c r="K181" i="20" s="1"/>
  <c r="K179" i="20"/>
  <c r="K177" i="20"/>
  <c r="K175" i="20"/>
  <c r="K168" i="20"/>
  <c r="K164" i="20"/>
  <c r="K161" i="20"/>
  <c r="K158" i="20"/>
  <c r="K152" i="20"/>
  <c r="K145" i="20"/>
  <c r="K143" i="20"/>
  <c r="K142" i="20" s="1"/>
  <c r="K137" i="20"/>
  <c r="K134" i="20"/>
  <c r="K131" i="20"/>
  <c r="K128" i="20"/>
  <c r="K125" i="20"/>
  <c r="K120" i="20"/>
  <c r="K115" i="20"/>
  <c r="K114" i="20"/>
  <c r="K113" i="20" s="1"/>
  <c r="K112" i="20"/>
  <c r="K111" i="20"/>
  <c r="K107" i="20"/>
  <c r="K100" i="20"/>
  <c r="K95" i="20"/>
  <c r="K92" i="20"/>
  <c r="K88" i="20"/>
  <c r="K85" i="20"/>
  <c r="K82" i="20"/>
  <c r="K80" i="20"/>
  <c r="K79" i="20" s="1"/>
  <c r="K76" i="20"/>
  <c r="K74" i="20"/>
  <c r="K73" i="20" s="1"/>
  <c r="K69" i="20"/>
  <c r="K66" i="20"/>
  <c r="K61" i="20"/>
  <c r="K60" i="20" s="1"/>
  <c r="K57" i="20"/>
  <c r="K54" i="20"/>
  <c r="K51" i="20"/>
  <c r="K50" i="20"/>
  <c r="K49" i="20" s="1"/>
  <c r="K47" i="20"/>
  <c r="K44" i="20"/>
  <c r="K41" i="20"/>
  <c r="K40" i="20"/>
  <c r="K39" i="20" s="1"/>
  <c r="K38" i="20"/>
  <c r="K37" i="20" s="1"/>
  <c r="K30" i="20"/>
  <c r="K25" i="20"/>
  <c r="K24" i="20" s="1"/>
  <c r="K22" i="20"/>
  <c r="K19" i="20"/>
  <c r="K13" i="20"/>
  <c r="K18" i="20" l="1"/>
  <c r="K29" i="20"/>
  <c r="K43" i="20"/>
  <c r="K75" i="20"/>
  <c r="K130" i="20"/>
  <c r="K144" i="20"/>
  <c r="K163" i="20"/>
  <c r="K261" i="20"/>
  <c r="K310" i="20"/>
  <c r="K386" i="20"/>
  <c r="K411" i="20"/>
  <c r="K459" i="20"/>
  <c r="K480" i="20"/>
  <c r="K508" i="20"/>
  <c r="K539" i="20"/>
  <c r="K609" i="20"/>
  <c r="K653" i="20"/>
  <c r="K690" i="20"/>
  <c r="K793" i="20"/>
  <c r="K808" i="20"/>
  <c r="K854" i="20"/>
  <c r="K884" i="20"/>
  <c r="K53" i="20"/>
  <c r="K78" i="20"/>
  <c r="K133" i="20"/>
  <c r="K151" i="20"/>
  <c r="K167" i="20"/>
  <c r="K230" i="20"/>
  <c r="K241" i="20"/>
  <c r="K316" i="20"/>
  <c r="K405" i="20"/>
  <c r="K426" i="20"/>
  <c r="K453" i="20"/>
  <c r="K511" i="20"/>
  <c r="K544" i="20"/>
  <c r="K582" i="20"/>
  <c r="K775" i="20"/>
  <c r="K826" i="20"/>
  <c r="K920" i="20"/>
  <c r="K56" i="20"/>
  <c r="K72" i="20"/>
  <c r="K81" i="20"/>
  <c r="K94" i="20"/>
  <c r="K124" i="20"/>
  <c r="K136" i="20"/>
  <c r="K157" i="20"/>
  <c r="K185" i="20"/>
  <c r="K215" i="20"/>
  <c r="K247" i="20"/>
  <c r="K276" i="20"/>
  <c r="K375" i="20"/>
  <c r="K393" i="20"/>
  <c r="K408" i="20"/>
  <c r="K465" i="20"/>
  <c r="K474" i="20"/>
  <c r="K483" i="20"/>
  <c r="K500" i="20"/>
  <c r="K518" i="20"/>
  <c r="K533" i="20"/>
  <c r="K547" i="20"/>
  <c r="K559" i="20"/>
  <c r="K585" i="20"/>
  <c r="K634" i="20"/>
  <c r="K647" i="20"/>
  <c r="K684" i="20"/>
  <c r="K737" i="20"/>
  <c r="K756" i="20"/>
  <c r="K789" i="20"/>
  <c r="K816" i="20"/>
  <c r="K875" i="20"/>
  <c r="K65" i="20"/>
  <c r="K87" i="20"/>
  <c r="K106" i="20"/>
  <c r="K210" i="20"/>
  <c r="K288" i="20"/>
  <c r="K301" i="20"/>
  <c r="K325" i="20"/>
  <c r="K372" i="20"/>
  <c r="K399" i="20"/>
  <c r="K420" i="20"/>
  <c r="K448" i="20"/>
  <c r="K471" i="20"/>
  <c r="K490" i="20"/>
  <c r="K527" i="20"/>
  <c r="K553" i="20"/>
  <c r="K591" i="20"/>
  <c r="K627" i="20"/>
  <c r="K640" i="20"/>
  <c r="K674" i="20"/>
  <c r="K771" i="20"/>
  <c r="K901" i="20"/>
  <c r="K68" i="20"/>
  <c r="K91" i="20"/>
  <c r="K119" i="20"/>
  <c r="K269" i="20"/>
  <c r="K357" i="20"/>
  <c r="K389" i="20"/>
  <c r="K414" i="20"/>
  <c r="K462" i="20"/>
  <c r="K497" i="20"/>
  <c r="K530" i="20"/>
  <c r="K556" i="20"/>
  <c r="K597" i="20"/>
  <c r="K617" i="20"/>
  <c r="K630" i="20"/>
  <c r="K644" i="20"/>
  <c r="K678" i="20"/>
  <c r="K698" i="20"/>
  <c r="K869" i="20"/>
  <c r="K890" i="20"/>
  <c r="K12" i="20"/>
  <c r="K59" i="20"/>
  <c r="K84" i="20"/>
  <c r="K99" i="20"/>
  <c r="K127" i="20"/>
  <c r="K141" i="20"/>
  <c r="K160" i="20"/>
  <c r="K193" i="20"/>
  <c r="K204" i="20"/>
  <c r="K222" i="20"/>
  <c r="K254" i="20"/>
  <c r="K281" i="20"/>
  <c r="K366" i="20"/>
  <c r="K378" i="20"/>
  <c r="K396" i="20"/>
  <c r="K417" i="20"/>
  <c r="K456" i="20"/>
  <c r="K468" i="20"/>
  <c r="K477" i="20"/>
  <c r="K487" i="20"/>
  <c r="K521" i="20"/>
  <c r="K536" i="20"/>
  <c r="K550" i="20"/>
  <c r="K566" i="20"/>
  <c r="K577" i="20"/>
  <c r="K588" i="20"/>
  <c r="K624" i="20"/>
  <c r="K637" i="20"/>
  <c r="K650" i="20"/>
  <c r="K665" i="20"/>
  <c r="K687" i="20"/>
  <c r="K745" i="20"/>
  <c r="K763" i="20"/>
  <c r="K779" i="20"/>
  <c r="K802" i="20"/>
  <c r="K866" i="20"/>
  <c r="K731" i="20"/>
  <c r="K701" i="20"/>
  <c r="K320" i="20"/>
  <c r="K660" i="20"/>
  <c r="K21" i="20"/>
  <c r="K233" i="20"/>
  <c r="K569" i="20"/>
  <c r="K839" i="20"/>
  <c r="K786" i="20"/>
  <c r="K823" i="20"/>
  <c r="K832" i="20"/>
  <c r="K46" i="20"/>
  <c r="K304" i="20"/>
  <c r="K438" i="20"/>
  <c r="K196" i="20"/>
  <c r="K338" i="20"/>
  <c r="K724" i="20"/>
  <c r="K429" i="20"/>
  <c r="K669" i="20"/>
  <c r="K719" i="20"/>
  <c r="K36" i="20"/>
  <c r="K110" i="20"/>
  <c r="K291" i="20"/>
  <c r="K328" i="20"/>
  <c r="K333" i="20"/>
  <c r="K343" i="20"/>
  <c r="K707" i="20"/>
  <c r="K893" i="20"/>
  <c r="K912" i="20"/>
  <c r="K600" i="20"/>
  <c r="K174" i="20"/>
  <c r="K350" i="20"/>
  <c r="K748" i="20"/>
  <c r="K857" i="20"/>
  <c r="K844" i="20"/>
  <c r="I507" i="21"/>
  <c r="J507" i="21"/>
  <c r="J66" i="21"/>
  <c r="K14" i="21"/>
  <c r="K25" i="21"/>
  <c r="K32" i="21"/>
  <c r="K48" i="21"/>
  <c r="K59" i="21"/>
  <c r="K69" i="21"/>
  <c r="K71" i="21"/>
  <c r="K83" i="21"/>
  <c r="K86" i="21"/>
  <c r="K93" i="21"/>
  <c r="K99" i="21"/>
  <c r="K102" i="21"/>
  <c r="K105" i="21"/>
  <c r="K109" i="21"/>
  <c r="K112" i="21"/>
  <c r="K117" i="21"/>
  <c r="K122" i="21"/>
  <c r="K132" i="21"/>
  <c r="K135" i="21"/>
  <c r="K142" i="21"/>
  <c r="K145" i="21"/>
  <c r="K148" i="21"/>
  <c r="K155" i="21"/>
  <c r="K161" i="21"/>
  <c r="K168" i="21"/>
  <c r="K176" i="21"/>
  <c r="K181" i="21"/>
  <c r="K199" i="21"/>
  <c r="K201" i="21"/>
  <c r="K205" i="21"/>
  <c r="K211" i="21"/>
  <c r="K217" i="21"/>
  <c r="K233" i="21"/>
  <c r="K235" i="21"/>
  <c r="K240" i="21"/>
  <c r="K257" i="21"/>
  <c r="K260" i="21"/>
  <c r="K263" i="21"/>
  <c r="K266" i="21"/>
  <c r="K278" i="21"/>
  <c r="K292" i="21"/>
  <c r="K299" i="21"/>
  <c r="K305" i="21"/>
  <c r="K319" i="21"/>
  <c r="K322" i="21"/>
  <c r="K328" i="21"/>
  <c r="K335" i="21"/>
  <c r="K338" i="21"/>
  <c r="K341" i="21"/>
  <c r="K344" i="21"/>
  <c r="K349" i="21"/>
  <c r="K354" i="21"/>
  <c r="K368" i="21"/>
  <c r="K372" i="21"/>
  <c r="K380" i="21"/>
  <c r="K386" i="21"/>
  <c r="K389" i="21"/>
  <c r="K398" i="21"/>
  <c r="K409" i="21"/>
  <c r="K412" i="21"/>
  <c r="K415" i="21"/>
  <c r="K419" i="21"/>
  <c r="K422" i="21"/>
  <c r="K425" i="21"/>
  <c r="K428" i="21"/>
  <c r="K431" i="21"/>
  <c r="K434" i="21"/>
  <c r="K438" i="21"/>
  <c r="K441" i="21"/>
  <c r="K458" i="21"/>
  <c r="K470" i="21"/>
  <c r="K488" i="21"/>
  <c r="K496" i="21"/>
  <c r="K503" i="21"/>
  <c r="K521" i="21"/>
  <c r="K522" i="21"/>
  <c r="K525" i="21"/>
  <c r="K526" i="21"/>
  <c r="K530" i="21"/>
  <c r="K531" i="21"/>
  <c r="K537" i="21"/>
  <c r="K538" i="21"/>
  <c r="K544" i="21"/>
  <c r="K553" i="21"/>
  <c r="K558" i="21"/>
  <c r="K565" i="21"/>
  <c r="K585" i="21"/>
  <c r="K593" i="21"/>
  <c r="K604" i="21"/>
  <c r="K611" i="21"/>
  <c r="K617" i="21"/>
  <c r="K628" i="21"/>
  <c r="K635" i="21"/>
  <c r="K638" i="21"/>
  <c r="K643" i="21"/>
  <c r="K646" i="21"/>
  <c r="K660" i="21"/>
  <c r="K671" i="21"/>
  <c r="K678" i="21"/>
  <c r="K680" i="21"/>
  <c r="K687" i="21"/>
  <c r="K692" i="21"/>
  <c r="K700" i="21"/>
  <c r="K705" i="21"/>
  <c r="K708" i="21"/>
  <c r="K711" i="21"/>
  <c r="K717" i="21"/>
  <c r="K724" i="21"/>
  <c r="K741" i="21"/>
  <c r="K752" i="21"/>
  <c r="L916" i="20"/>
  <c r="L922" i="20"/>
  <c r="L886" i="20"/>
  <c r="L897" i="20"/>
  <c r="L903" i="20"/>
  <c r="L877" i="20"/>
  <c r="L791" i="20"/>
  <c r="L778" i="20"/>
  <c r="L777" i="20"/>
  <c r="L774" i="20"/>
  <c r="L781" i="20"/>
  <c r="L792" i="20"/>
  <c r="L795" i="20"/>
  <c r="L796" i="20"/>
  <c r="L799" i="20"/>
  <c r="L800" i="20"/>
  <c r="L804" i="20"/>
  <c r="L805" i="20"/>
  <c r="L811" i="20"/>
  <c r="L812" i="20"/>
  <c r="L818" i="20"/>
  <c r="L838" i="20"/>
  <c r="L850" i="20"/>
  <c r="L861" i="20"/>
  <c r="L871" i="20"/>
  <c r="L758" i="20"/>
  <c r="L726" i="20"/>
  <c r="L728" i="20"/>
  <c r="L611" i="20"/>
  <c r="L612" i="20"/>
  <c r="L626" i="20"/>
  <c r="L632" i="20"/>
  <c r="L646" i="20"/>
  <c r="L649" i="20"/>
  <c r="L655" i="20"/>
  <c r="L662" i="20"/>
  <c r="L676" i="20"/>
  <c r="L680" i="20"/>
  <c r="L686" i="20"/>
  <c r="L689" i="20"/>
  <c r="L692" i="20"/>
  <c r="L705" i="20"/>
  <c r="L523" i="20"/>
  <c r="L532" i="20"/>
  <c r="L535" i="20"/>
  <c r="L538" i="20"/>
  <c r="L541" i="20"/>
  <c r="L546" i="20"/>
  <c r="L549" i="20"/>
  <c r="L552" i="20"/>
  <c r="L555" i="20"/>
  <c r="L558" i="20"/>
  <c r="L561" i="20"/>
  <c r="L573" i="20"/>
  <c r="L587" i="20"/>
  <c r="L593" i="20"/>
  <c r="L602" i="20"/>
  <c r="L604" i="20"/>
  <c r="K140" i="20" l="1"/>
  <c r="K139" i="20" s="1"/>
  <c r="K581" i="20"/>
  <c r="K580" i="20" s="1"/>
  <c r="K865" i="20"/>
  <c r="K864" i="20" s="1"/>
  <c r="K517" i="21"/>
  <c r="K518" i="21"/>
  <c r="K697" i="20"/>
  <c r="K696" i="20" s="1"/>
  <c r="K404" i="20"/>
  <c r="K643" i="20"/>
  <c r="K71" i="20"/>
  <c r="K486" i="20"/>
  <c r="K633" i="20"/>
  <c r="K90" i="20"/>
  <c r="K452" i="20"/>
  <c r="K371" i="20"/>
  <c r="K156" i="20"/>
  <c r="K496" i="20"/>
  <c r="K900" i="20"/>
  <c r="K370" i="20"/>
  <c r="K762" i="20"/>
  <c r="K623" i="20"/>
  <c r="K280" i="20"/>
  <c r="K118" i="20"/>
  <c r="K706" i="20"/>
  <c r="K718" i="20"/>
  <c r="K123" i="20"/>
  <c r="K300" i="20"/>
  <c r="K785" i="20"/>
  <c r="K17" i="20"/>
  <c r="K16" i="20" s="1"/>
  <c r="K801" i="20"/>
  <c r="K543" i="20"/>
  <c r="K365" i="20"/>
  <c r="K677" i="20"/>
  <c r="K64" i="20"/>
  <c r="K287" i="20"/>
  <c r="K286" i="20" s="1"/>
  <c r="K755" i="20"/>
  <c r="K184" i="20"/>
  <c r="K425" i="20"/>
  <c r="K576" i="20"/>
  <c r="K221" i="20"/>
  <c r="K214" i="20"/>
  <c r="K28" i="20"/>
  <c r="K853" i="20"/>
  <c r="K349" i="20"/>
  <c r="K908" i="20"/>
  <c r="K907" i="20" s="1"/>
  <c r="K109" i="20"/>
  <c r="K526" i="20"/>
  <c r="K437" i="20"/>
  <c r="K831" i="20"/>
  <c r="K830" i="20" s="1"/>
  <c r="K565" i="20"/>
  <c r="K659" i="20"/>
  <c r="K253" i="20"/>
  <c r="K11" i="20"/>
  <c r="K874" i="20"/>
  <c r="K736" i="20"/>
  <c r="K150" i="20"/>
  <c r="K807" i="20"/>
  <c r="K392" i="20"/>
  <c r="K919" i="20"/>
  <c r="K166" i="20"/>
  <c r="K608" i="20"/>
  <c r="K668" i="20"/>
  <c r="K268" i="20"/>
  <c r="K275" i="20"/>
  <c r="K315" i="20"/>
  <c r="K883" i="20"/>
  <c r="K309" i="20"/>
  <c r="K770" i="20"/>
  <c r="K744" i="20"/>
  <c r="K743" i="20" s="1"/>
  <c r="K229" i="20"/>
  <c r="K889" i="20"/>
  <c r="K517" i="20"/>
  <c r="K683" i="20"/>
  <c r="K192" i="20"/>
  <c r="K385" i="20"/>
  <c r="K822" i="20"/>
  <c r="K507" i="20"/>
  <c r="K203" i="20"/>
  <c r="K98" i="20"/>
  <c r="K616" i="20"/>
  <c r="K447" i="20"/>
  <c r="K209" i="20"/>
  <c r="K815" i="20"/>
  <c r="K246" i="20"/>
  <c r="K240" i="20"/>
  <c r="K260" i="20"/>
  <c r="K730" i="20"/>
  <c r="K173" i="20"/>
  <c r="K500" i="21"/>
  <c r="K35" i="20"/>
  <c r="K319" i="20"/>
  <c r="K499" i="21"/>
  <c r="K596" i="20"/>
  <c r="L450" i="20"/>
  <c r="L467" i="20"/>
  <c r="L470" i="20"/>
  <c r="L479" i="20"/>
  <c r="L489" i="20"/>
  <c r="L492" i="20"/>
  <c r="L504" i="20"/>
  <c r="L510" i="20"/>
  <c r="L513" i="20"/>
  <c r="L368" i="20"/>
  <c r="L380" i="20"/>
  <c r="L391" i="20"/>
  <c r="L398" i="20"/>
  <c r="L401" i="20"/>
  <c r="L422" i="20"/>
  <c r="L433" i="20"/>
  <c r="L306" i="20"/>
  <c r="L308" i="20"/>
  <c r="L312" i="20"/>
  <c r="L318" i="20"/>
  <c r="L324" i="20"/>
  <c r="L340" i="20"/>
  <c r="L342" i="20"/>
  <c r="L347" i="20"/>
  <c r="L278" i="20"/>
  <c r="L295" i="20"/>
  <c r="L271" i="20"/>
  <c r="L237" i="20"/>
  <c r="L243" i="20"/>
  <c r="L249" i="20"/>
  <c r="L256" i="20"/>
  <c r="L206" i="20"/>
  <c r="L212" i="20"/>
  <c r="L217" i="20"/>
  <c r="L169" i="20"/>
  <c r="L180" i="20"/>
  <c r="L159" i="20"/>
  <c r="L162" i="20"/>
  <c r="L165" i="20"/>
  <c r="L153" i="20"/>
  <c r="L146" i="20"/>
  <c r="L126" i="20"/>
  <c r="L129" i="20"/>
  <c r="L132" i="20"/>
  <c r="L135" i="20"/>
  <c r="L121" i="20"/>
  <c r="L116" i="20"/>
  <c r="L108" i="20"/>
  <c r="L101" i="20"/>
  <c r="L96" i="20"/>
  <c r="L93" i="20"/>
  <c r="L89" i="20"/>
  <c r="L86" i="20"/>
  <c r="L83" i="20"/>
  <c r="L77" i="20"/>
  <c r="L70" i="20"/>
  <c r="L67" i="20"/>
  <c r="L55" i="20"/>
  <c r="L58" i="20"/>
  <c r="L62" i="20"/>
  <c r="L48" i="20"/>
  <c r="L52" i="20"/>
  <c r="L45" i="20"/>
  <c r="L42" i="20"/>
  <c r="L23" i="20"/>
  <c r="L14" i="20"/>
  <c r="K451" i="20" l="1"/>
  <c r="K622" i="20"/>
  <c r="K621" i="20" s="1"/>
  <c r="K63" i="20"/>
  <c r="K122" i="20"/>
  <c r="K117" i="20" s="1"/>
  <c r="K658" i="20"/>
  <c r="K657" i="20" s="1"/>
  <c r="K814" i="20"/>
  <c r="K202" i="20"/>
  <c r="K191" i="20"/>
  <c r="K516" i="20"/>
  <c r="K769" i="20"/>
  <c r="K873" i="20"/>
  <c r="K564" i="20"/>
  <c r="K105" i="20"/>
  <c r="K784" i="20"/>
  <c r="K717" i="20"/>
  <c r="K682" i="20"/>
  <c r="K228" i="20"/>
  <c r="K735" i="20"/>
  <c r="K10" i="20"/>
  <c r="K575" i="20"/>
  <c r="K542" i="20"/>
  <c r="K299" i="20"/>
  <c r="K761" i="20"/>
  <c r="K259" i="20"/>
  <c r="K208" i="20"/>
  <c r="K97" i="20"/>
  <c r="K506" i="20"/>
  <c r="K384" i="20"/>
  <c r="K918" i="20"/>
  <c r="K525" i="20"/>
  <c r="K27" i="20"/>
  <c r="K213" i="20"/>
  <c r="K220" i="20"/>
  <c r="K424" i="20"/>
  <c r="K754" i="20"/>
  <c r="K695" i="20"/>
  <c r="K495" i="20"/>
  <c r="K888" i="20"/>
  <c r="K267" i="20"/>
  <c r="K863" i="20"/>
  <c r="K252" i="20"/>
  <c r="K436" i="20"/>
  <c r="K285" i="20"/>
  <c r="K183" i="20"/>
  <c r="K245" i="20"/>
  <c r="K446" i="20"/>
  <c r="K615" i="20"/>
  <c r="K821" i="20"/>
  <c r="K806" i="20"/>
  <c r="K348" i="20"/>
  <c r="K314" i="20" s="1"/>
  <c r="K899" i="20"/>
  <c r="K155" i="20"/>
  <c r="K154" i="20" s="1"/>
  <c r="K34" i="20"/>
  <c r="K239" i="20"/>
  <c r="K882" i="20"/>
  <c r="K607" i="20"/>
  <c r="K149" i="20"/>
  <c r="K852" i="20"/>
  <c r="K364" i="20"/>
  <c r="K279" i="20"/>
  <c r="K369" i="20"/>
  <c r="K729" i="20"/>
  <c r="K172" i="20"/>
  <c r="K906" i="20"/>
  <c r="K15" i="20"/>
  <c r="K595" i="20"/>
  <c r="K742" i="20"/>
  <c r="J336" i="20"/>
  <c r="J13" i="20"/>
  <c r="J19" i="20"/>
  <c r="J22" i="20"/>
  <c r="J24" i="20"/>
  <c r="J30" i="20"/>
  <c r="J37" i="20"/>
  <c r="J39" i="20"/>
  <c r="J41" i="20"/>
  <c r="J44" i="20"/>
  <c r="J47" i="20"/>
  <c r="J49" i="20"/>
  <c r="J51" i="20"/>
  <c r="J54" i="20"/>
  <c r="J57" i="20"/>
  <c r="J60" i="20"/>
  <c r="J66" i="20"/>
  <c r="J69" i="20"/>
  <c r="J68" i="20" s="1"/>
  <c r="J73" i="20"/>
  <c r="J76" i="20"/>
  <c r="J79" i="20"/>
  <c r="J82" i="20"/>
  <c r="J85" i="20"/>
  <c r="J88" i="20"/>
  <c r="J92" i="20"/>
  <c r="J95" i="20"/>
  <c r="J100" i="20"/>
  <c r="J107" i="20"/>
  <c r="J111" i="20"/>
  <c r="J113" i="20"/>
  <c r="J115" i="20"/>
  <c r="J120" i="20"/>
  <c r="J125" i="20"/>
  <c r="J128" i="20"/>
  <c r="J131" i="20"/>
  <c r="J134" i="20"/>
  <c r="J137" i="20"/>
  <c r="J142" i="20"/>
  <c r="J145" i="20"/>
  <c r="J152" i="20"/>
  <c r="J158" i="20"/>
  <c r="J157" i="20" s="1"/>
  <c r="J161" i="20"/>
  <c r="J164" i="20"/>
  <c r="J168" i="20"/>
  <c r="J175" i="20"/>
  <c r="J177" i="20"/>
  <c r="J179" i="20"/>
  <c r="J181" i="20"/>
  <c r="J186" i="20"/>
  <c r="J194" i="20"/>
  <c r="J197" i="20"/>
  <c r="J199" i="20"/>
  <c r="J205" i="20"/>
  <c r="J211" i="20"/>
  <c r="J216" i="20"/>
  <c r="J223" i="20"/>
  <c r="J231" i="20"/>
  <c r="J234" i="20"/>
  <c r="J236" i="20"/>
  <c r="J242" i="20"/>
  <c r="J248" i="20"/>
  <c r="J255" i="20"/>
  <c r="J262" i="20"/>
  <c r="J270" i="20"/>
  <c r="J277" i="20"/>
  <c r="J282" i="20"/>
  <c r="J289" i="20"/>
  <c r="J292" i="20"/>
  <c r="J294" i="20"/>
  <c r="J302" i="20"/>
  <c r="J305" i="20"/>
  <c r="J307" i="20"/>
  <c r="J311" i="20"/>
  <c r="J317" i="20"/>
  <c r="J321" i="20"/>
  <c r="J323" i="20"/>
  <c r="J326" i="20"/>
  <c r="J329" i="20"/>
  <c r="J331" i="20"/>
  <c r="J334" i="20"/>
  <c r="J339" i="20"/>
  <c r="J341" i="20"/>
  <c r="J344" i="20"/>
  <c r="J346" i="20"/>
  <c r="J351" i="20"/>
  <c r="J353" i="20"/>
  <c r="J355" i="20"/>
  <c r="J358" i="20"/>
  <c r="J367" i="20"/>
  <c r="J373" i="20"/>
  <c r="J377" i="20"/>
  <c r="J376" i="20" s="1"/>
  <c r="J379" i="20"/>
  <c r="J387" i="20"/>
  <c r="J390" i="20"/>
  <c r="J394" i="20"/>
  <c r="J397" i="20"/>
  <c r="J400" i="20"/>
  <c r="J406" i="20"/>
  <c r="J409" i="20"/>
  <c r="J413" i="20"/>
  <c r="J412" i="20" s="1"/>
  <c r="J415" i="20"/>
  <c r="J416" i="20"/>
  <c r="J418" i="20"/>
  <c r="J421" i="20"/>
  <c r="J427" i="20"/>
  <c r="J430" i="20"/>
  <c r="J432" i="20"/>
  <c r="J439" i="20"/>
  <c r="J441" i="20"/>
  <c r="J443" i="20"/>
  <c r="J449" i="20"/>
  <c r="J454" i="20"/>
  <c r="J457" i="20"/>
  <c r="J461" i="20"/>
  <c r="J460" i="20" s="1"/>
  <c r="J463" i="20"/>
  <c r="J466" i="20"/>
  <c r="J469" i="20"/>
  <c r="J472" i="20"/>
  <c r="J475" i="20"/>
  <c r="J478" i="20"/>
  <c r="J481" i="20"/>
  <c r="J484" i="20"/>
  <c r="J488" i="20"/>
  <c r="J491" i="20"/>
  <c r="J498" i="20"/>
  <c r="J501" i="20"/>
  <c r="J503" i="20"/>
  <c r="J509" i="20"/>
  <c r="J512" i="20"/>
  <c r="J519" i="20"/>
  <c r="J522" i="20"/>
  <c r="J528" i="20"/>
  <c r="J531" i="20"/>
  <c r="J534" i="20"/>
  <c r="J537" i="20"/>
  <c r="J540" i="20"/>
  <c r="J545" i="20"/>
  <c r="J548" i="20"/>
  <c r="J551" i="20"/>
  <c r="J554" i="20"/>
  <c r="J557" i="20"/>
  <c r="J560" i="20"/>
  <c r="J567" i="20"/>
  <c r="J570" i="20"/>
  <c r="J572" i="20"/>
  <c r="J578" i="20"/>
  <c r="J583" i="20"/>
  <c r="J586" i="20"/>
  <c r="J589" i="20"/>
  <c r="J592" i="20"/>
  <c r="J598" i="20"/>
  <c r="J601" i="20"/>
  <c r="J603" i="20"/>
  <c r="J610" i="20"/>
  <c r="J618" i="20"/>
  <c r="J625" i="20"/>
  <c r="J628" i="20"/>
  <c r="J631" i="20"/>
  <c r="J635" i="20"/>
  <c r="J638" i="20"/>
  <c r="J641" i="20"/>
  <c r="J645" i="20"/>
  <c r="J648" i="20"/>
  <c r="J651" i="20"/>
  <c r="J654" i="20"/>
  <c r="J661" i="20"/>
  <c r="J663" i="20"/>
  <c r="J666" i="20"/>
  <c r="J670" i="20"/>
  <c r="J672" i="20"/>
  <c r="J675" i="20"/>
  <c r="J679" i="20"/>
  <c r="J685" i="20"/>
  <c r="J688" i="20"/>
  <c r="J691" i="20"/>
  <c r="J699" i="20"/>
  <c r="J702" i="20"/>
  <c r="J704" i="20"/>
  <c r="J708" i="20"/>
  <c r="J710" i="20"/>
  <c r="J712" i="20"/>
  <c r="J720" i="20"/>
  <c r="J722" i="20"/>
  <c r="J725" i="20"/>
  <c r="J727" i="20"/>
  <c r="J732" i="20"/>
  <c r="J738" i="20"/>
  <c r="J746" i="20"/>
  <c r="J749" i="20"/>
  <c r="J751" i="20"/>
  <c r="J757" i="20"/>
  <c r="J764" i="20"/>
  <c r="J772" i="20"/>
  <c r="J776" i="20"/>
  <c r="J780" i="20"/>
  <c r="J794" i="20"/>
  <c r="J798" i="20"/>
  <c r="J803" i="20"/>
  <c r="J810" i="20"/>
  <c r="J817" i="20"/>
  <c r="J823" i="20"/>
  <c r="J827" i="20"/>
  <c r="J833" i="20"/>
  <c r="J835" i="20"/>
  <c r="J837" i="20"/>
  <c r="J841" i="20"/>
  <c r="J840" i="20" s="1"/>
  <c r="J842" i="20"/>
  <c r="J846" i="20"/>
  <c r="J845" i="20" s="1"/>
  <c r="J847" i="20"/>
  <c r="J849" i="20"/>
  <c r="J855" i="20"/>
  <c r="J858" i="20"/>
  <c r="J860" i="20"/>
  <c r="J867" i="20"/>
  <c r="J870" i="20"/>
  <c r="J876" i="20"/>
  <c r="J885" i="20"/>
  <c r="J891" i="20"/>
  <c r="J894" i="20"/>
  <c r="J896" i="20"/>
  <c r="J902" i="20"/>
  <c r="J910" i="20"/>
  <c r="J913" i="20"/>
  <c r="J915" i="20"/>
  <c r="J921" i="20"/>
  <c r="I154" i="21"/>
  <c r="I153" i="21" s="1"/>
  <c r="J154" i="21"/>
  <c r="H154" i="21"/>
  <c r="H153" i="21" s="1"/>
  <c r="I160" i="21"/>
  <c r="I159" i="21" s="1"/>
  <c r="I158" i="21" s="1"/>
  <c r="I157" i="21" s="1"/>
  <c r="I156" i="21" s="1"/>
  <c r="J160" i="21"/>
  <c r="H160" i="21"/>
  <c r="H159" i="21" s="1"/>
  <c r="H158" i="21" s="1"/>
  <c r="H157" i="21" s="1"/>
  <c r="H156" i="21" s="1"/>
  <c r="I13" i="21"/>
  <c r="I12" i="21" s="1"/>
  <c r="I11" i="21" s="1"/>
  <c r="I10" i="21" s="1"/>
  <c r="I9" i="21" s="1"/>
  <c r="I8" i="21" s="1"/>
  <c r="J13" i="21"/>
  <c r="I19" i="21"/>
  <c r="I18" i="21" s="1"/>
  <c r="I17" i="21" s="1"/>
  <c r="I16" i="21" s="1"/>
  <c r="J19" i="21"/>
  <c r="I22" i="21"/>
  <c r="J22" i="21"/>
  <c r="I24" i="21"/>
  <c r="J24" i="21"/>
  <c r="I31" i="21"/>
  <c r="I30" i="21" s="1"/>
  <c r="I29" i="21" s="1"/>
  <c r="I28" i="21" s="1"/>
  <c r="I27" i="21" s="1"/>
  <c r="J31" i="21"/>
  <c r="I36" i="21"/>
  <c r="I35" i="21" s="1"/>
  <c r="J36" i="21"/>
  <c r="J39" i="21"/>
  <c r="I39" i="21"/>
  <c r="I41" i="21"/>
  <c r="J41" i="21"/>
  <c r="I47" i="21"/>
  <c r="I46" i="21" s="1"/>
  <c r="I45" i="21" s="1"/>
  <c r="I44" i="21" s="1"/>
  <c r="I43" i="21" s="1"/>
  <c r="J47" i="21"/>
  <c r="I53" i="21"/>
  <c r="I52" i="21" s="1"/>
  <c r="J53" i="21"/>
  <c r="J56" i="21"/>
  <c r="I56" i="21"/>
  <c r="I58" i="21"/>
  <c r="J58" i="21"/>
  <c r="J63" i="21"/>
  <c r="I63" i="21"/>
  <c r="J65" i="21"/>
  <c r="I65" i="21"/>
  <c r="I68" i="21"/>
  <c r="J68" i="21"/>
  <c r="I70" i="21"/>
  <c r="J70" i="21"/>
  <c r="I76" i="21"/>
  <c r="I75" i="21" s="1"/>
  <c r="I74" i="21" s="1"/>
  <c r="I73" i="21" s="1"/>
  <c r="I72" i="21" s="1"/>
  <c r="J76" i="21"/>
  <c r="I82" i="21"/>
  <c r="I81" i="21" s="1"/>
  <c r="J82" i="21"/>
  <c r="I85" i="21"/>
  <c r="I84" i="21" s="1"/>
  <c r="J85" i="21"/>
  <c r="J89" i="21"/>
  <c r="I89" i="21"/>
  <c r="I88" i="21" s="1"/>
  <c r="I92" i="21"/>
  <c r="I91" i="21" s="1"/>
  <c r="J92" i="21"/>
  <c r="I95" i="21"/>
  <c r="I94" i="21" s="1"/>
  <c r="J95" i="21"/>
  <c r="I98" i="21"/>
  <c r="I97" i="21" s="1"/>
  <c r="J98" i="21"/>
  <c r="I101" i="21"/>
  <c r="I100" i="21" s="1"/>
  <c r="J101" i="21"/>
  <c r="I104" i="21"/>
  <c r="I103" i="21" s="1"/>
  <c r="J104" i="21"/>
  <c r="I108" i="21"/>
  <c r="I107" i="21" s="1"/>
  <c r="J108" i="21"/>
  <c r="I111" i="21"/>
  <c r="I110" i="21" s="1"/>
  <c r="J111" i="21"/>
  <c r="I116" i="21"/>
  <c r="I115" i="21" s="1"/>
  <c r="I114" i="21" s="1"/>
  <c r="I113" i="21" s="1"/>
  <c r="J116" i="21"/>
  <c r="I121" i="21"/>
  <c r="I120" i="21" s="1"/>
  <c r="I119" i="21" s="1"/>
  <c r="I118" i="21" s="1"/>
  <c r="J121" i="21"/>
  <c r="I127" i="21"/>
  <c r="J127" i="21"/>
  <c r="J129" i="21"/>
  <c r="I129" i="21"/>
  <c r="I131" i="21"/>
  <c r="J131" i="21"/>
  <c r="I134" i="21"/>
  <c r="I133" i="21" s="1"/>
  <c r="J134" i="21"/>
  <c r="I137" i="21"/>
  <c r="J137" i="21"/>
  <c r="J139" i="21"/>
  <c r="I139" i="21"/>
  <c r="I141" i="21"/>
  <c r="J141" i="21"/>
  <c r="I144" i="21"/>
  <c r="I143" i="21" s="1"/>
  <c r="J144" i="21"/>
  <c r="I147" i="21"/>
  <c r="I146" i="21" s="1"/>
  <c r="J147" i="21"/>
  <c r="J150" i="21"/>
  <c r="I150" i="21"/>
  <c r="I149" i="21" s="1"/>
  <c r="I167" i="21"/>
  <c r="I166" i="21" s="1"/>
  <c r="J167" i="21"/>
  <c r="I171" i="21"/>
  <c r="J171" i="21"/>
  <c r="I173" i="21"/>
  <c r="J173" i="21"/>
  <c r="I175" i="21"/>
  <c r="J175" i="21"/>
  <c r="I180" i="21"/>
  <c r="I179" i="21" s="1"/>
  <c r="I178" i="21" s="1"/>
  <c r="J180" i="21"/>
  <c r="I185" i="21"/>
  <c r="J185" i="21"/>
  <c r="I187" i="21"/>
  <c r="J187" i="21"/>
  <c r="I189" i="21"/>
  <c r="J189" i="21"/>
  <c r="I195" i="21"/>
  <c r="I194" i="21" s="1"/>
  <c r="J195" i="21"/>
  <c r="I198" i="21"/>
  <c r="J198" i="21"/>
  <c r="I200" i="21"/>
  <c r="J200" i="21"/>
  <c r="I204" i="21"/>
  <c r="I203" i="21" s="1"/>
  <c r="I202" i="21" s="1"/>
  <c r="J204" i="21"/>
  <c r="I210" i="21"/>
  <c r="I209" i="21" s="1"/>
  <c r="I208" i="21" s="1"/>
  <c r="J210" i="21"/>
  <c r="J214" i="21"/>
  <c r="I214" i="21"/>
  <c r="I216" i="21"/>
  <c r="J216" i="21"/>
  <c r="J219" i="21"/>
  <c r="I219" i="21"/>
  <c r="I218" i="21" s="1"/>
  <c r="I222" i="21"/>
  <c r="J222" i="21"/>
  <c r="I224" i="21"/>
  <c r="J224" i="21"/>
  <c r="J227" i="21"/>
  <c r="I227" i="21"/>
  <c r="J229" i="21"/>
  <c r="I229" i="21"/>
  <c r="I232" i="21"/>
  <c r="J232" i="21"/>
  <c r="I234" i="21"/>
  <c r="J234" i="21"/>
  <c r="J237" i="21"/>
  <c r="I237" i="21"/>
  <c r="I239" i="21"/>
  <c r="J239" i="21"/>
  <c r="J244" i="21"/>
  <c r="I244" i="21"/>
  <c r="J246" i="21"/>
  <c r="I246" i="21"/>
  <c r="J248" i="21"/>
  <c r="I248" i="21"/>
  <c r="I251" i="21"/>
  <c r="I250" i="21" s="1"/>
  <c r="J251" i="21"/>
  <c r="I256" i="21"/>
  <c r="I255" i="21" s="1"/>
  <c r="J256" i="21"/>
  <c r="I259" i="21"/>
  <c r="I258" i="21" s="1"/>
  <c r="J259" i="21"/>
  <c r="I262" i="21"/>
  <c r="I261" i="21" s="1"/>
  <c r="J262" i="21"/>
  <c r="I265" i="21"/>
  <c r="I264" i="21" s="1"/>
  <c r="J265" i="21"/>
  <c r="J268" i="21"/>
  <c r="I268" i="21"/>
  <c r="I267" i="21" s="1"/>
  <c r="I273" i="21"/>
  <c r="I272" i="21" s="1"/>
  <c r="I271" i="21" s="1"/>
  <c r="I270" i="21" s="1"/>
  <c r="J273" i="21"/>
  <c r="I277" i="21"/>
  <c r="I276" i="21" s="1"/>
  <c r="J277" i="21"/>
  <c r="I280" i="21"/>
  <c r="I279" i="21" s="1"/>
  <c r="J280" i="21"/>
  <c r="J285" i="21"/>
  <c r="I285" i="21"/>
  <c r="I284" i="21" s="1"/>
  <c r="I288" i="21"/>
  <c r="I287" i="21" s="1"/>
  <c r="J288" i="21"/>
  <c r="I291" i="21"/>
  <c r="I290" i="21" s="1"/>
  <c r="J291" i="21"/>
  <c r="I298" i="21"/>
  <c r="I297" i="21" s="1"/>
  <c r="J298" i="21"/>
  <c r="J301" i="21"/>
  <c r="I301" i="21"/>
  <c r="I300" i="21" s="1"/>
  <c r="I304" i="21"/>
  <c r="I303" i="21" s="1"/>
  <c r="J304" i="21"/>
  <c r="J308" i="21"/>
  <c r="I308" i="21"/>
  <c r="I307" i="21" s="1"/>
  <c r="I311" i="21"/>
  <c r="I310" i="21" s="1"/>
  <c r="J311" i="21"/>
  <c r="J314" i="21"/>
  <c r="I314" i="21"/>
  <c r="I313" i="21" s="1"/>
  <c r="I318" i="21"/>
  <c r="I317" i="21" s="1"/>
  <c r="J318" i="21"/>
  <c r="I321" i="21"/>
  <c r="I320" i="21" s="1"/>
  <c r="J321" i="21"/>
  <c r="J324" i="21"/>
  <c r="I324" i="21"/>
  <c r="I323" i="21" s="1"/>
  <c r="I327" i="21"/>
  <c r="I326" i="21" s="1"/>
  <c r="J327" i="21"/>
  <c r="J331" i="21"/>
  <c r="I331" i="21"/>
  <c r="I330" i="21" s="1"/>
  <c r="I334" i="21"/>
  <c r="I333" i="21" s="1"/>
  <c r="J334" i="21"/>
  <c r="I337" i="21"/>
  <c r="I336" i="21" s="1"/>
  <c r="J337" i="21"/>
  <c r="I340" i="21"/>
  <c r="I339" i="21" s="1"/>
  <c r="J340" i="21"/>
  <c r="I343" i="21"/>
  <c r="I342" i="21" s="1"/>
  <c r="J343" i="21"/>
  <c r="I348" i="21"/>
  <c r="I347" i="21" s="1"/>
  <c r="I346" i="21" s="1"/>
  <c r="J348" i="21"/>
  <c r="I353" i="21"/>
  <c r="J353" i="21"/>
  <c r="J355" i="21"/>
  <c r="I355" i="21"/>
  <c r="I358" i="21"/>
  <c r="I357" i="21" s="1"/>
  <c r="J358" i="21"/>
  <c r="I362" i="21"/>
  <c r="J362" i="21"/>
  <c r="I364" i="21"/>
  <c r="J364" i="21"/>
  <c r="I367" i="21"/>
  <c r="I366" i="21" s="1"/>
  <c r="J367" i="21"/>
  <c r="I371" i="21"/>
  <c r="I370" i="21" s="1"/>
  <c r="I369" i="21" s="1"/>
  <c r="J371" i="21"/>
  <c r="I376" i="21"/>
  <c r="I375" i="21" s="1"/>
  <c r="J376" i="21"/>
  <c r="I379" i="21"/>
  <c r="I378" i="21" s="1"/>
  <c r="J379" i="21"/>
  <c r="I382" i="21"/>
  <c r="I381" i="21" s="1"/>
  <c r="J382" i="21"/>
  <c r="I385" i="21"/>
  <c r="I384" i="21" s="1"/>
  <c r="J385" i="21"/>
  <c r="I388" i="21"/>
  <c r="I387" i="21" s="1"/>
  <c r="J388" i="21"/>
  <c r="J391" i="21"/>
  <c r="I391" i="21"/>
  <c r="I390" i="21" s="1"/>
  <c r="I394" i="21"/>
  <c r="I393" i="21" s="1"/>
  <c r="J394" i="21"/>
  <c r="I397" i="21"/>
  <c r="I396" i="21" s="1"/>
  <c r="J397" i="21"/>
  <c r="J400" i="21"/>
  <c r="I400" i="21"/>
  <c r="I399" i="21" s="1"/>
  <c r="I403" i="21"/>
  <c r="I402" i="21" s="1"/>
  <c r="J403" i="21"/>
  <c r="I408" i="21"/>
  <c r="I407" i="21" s="1"/>
  <c r="J408" i="21"/>
  <c r="I411" i="21"/>
  <c r="I410" i="21" s="1"/>
  <c r="J411" i="21"/>
  <c r="I414" i="21"/>
  <c r="I413" i="21" s="1"/>
  <c r="J414" i="21"/>
  <c r="I418" i="21"/>
  <c r="I417" i="21" s="1"/>
  <c r="J418" i="21"/>
  <c r="I421" i="21"/>
  <c r="I420" i="21" s="1"/>
  <c r="J421" i="21"/>
  <c r="I424" i="21"/>
  <c r="I423" i="21" s="1"/>
  <c r="J424" i="21"/>
  <c r="I427" i="21"/>
  <c r="I426" i="21" s="1"/>
  <c r="J427" i="21"/>
  <c r="I430" i="21"/>
  <c r="I429" i="21" s="1"/>
  <c r="J430" i="21"/>
  <c r="I433" i="21"/>
  <c r="I432" i="21" s="1"/>
  <c r="J433" i="21"/>
  <c r="I437" i="21"/>
  <c r="I436" i="21" s="1"/>
  <c r="J437" i="21"/>
  <c r="I440" i="21"/>
  <c r="I439" i="21" s="1"/>
  <c r="J440" i="21"/>
  <c r="J445" i="21"/>
  <c r="I445" i="21"/>
  <c r="I444" i="21" s="1"/>
  <c r="I443" i="21" s="1"/>
  <c r="I442" i="21" s="1"/>
  <c r="I452" i="21"/>
  <c r="I451" i="21" s="1"/>
  <c r="J452" i="21"/>
  <c r="J455" i="21"/>
  <c r="I455" i="21"/>
  <c r="I457" i="21"/>
  <c r="J457" i="21"/>
  <c r="J464" i="21"/>
  <c r="I464" i="21"/>
  <c r="I463" i="21" s="1"/>
  <c r="I467" i="21"/>
  <c r="J467" i="21"/>
  <c r="I469" i="21"/>
  <c r="J469" i="21"/>
  <c r="J473" i="21"/>
  <c r="I473" i="21"/>
  <c r="J475" i="21"/>
  <c r="I475" i="21"/>
  <c r="J477" i="21"/>
  <c r="I477" i="21"/>
  <c r="I482" i="21"/>
  <c r="I481" i="21" s="1"/>
  <c r="J482" i="21"/>
  <c r="J485" i="21"/>
  <c r="I485" i="21"/>
  <c r="I487" i="21"/>
  <c r="J487" i="21"/>
  <c r="J494" i="21"/>
  <c r="I494" i="21"/>
  <c r="I493" i="21" s="1"/>
  <c r="I498" i="21"/>
  <c r="I497" i="21" s="1"/>
  <c r="J498" i="21"/>
  <c r="I502" i="21"/>
  <c r="I501" i="21" s="1"/>
  <c r="J502" i="21"/>
  <c r="I506" i="21"/>
  <c r="I505" i="21" s="1"/>
  <c r="I504" i="21" s="1"/>
  <c r="J506" i="21"/>
  <c r="J512" i="21"/>
  <c r="I512" i="21"/>
  <c r="I511" i="21" s="1"/>
  <c r="J516" i="21"/>
  <c r="I516" i="21"/>
  <c r="I515" i="21" s="1"/>
  <c r="I520" i="21"/>
  <c r="I519" i="21" s="1"/>
  <c r="J520" i="21"/>
  <c r="I524" i="21"/>
  <c r="I523" i="21" s="1"/>
  <c r="J524" i="21"/>
  <c r="I529" i="21"/>
  <c r="I528" i="21" s="1"/>
  <c r="I527" i="21" s="1"/>
  <c r="J529" i="21"/>
  <c r="I536" i="21"/>
  <c r="I535" i="21" s="1"/>
  <c r="I534" i="21" s="1"/>
  <c r="I533" i="21" s="1"/>
  <c r="J536" i="21"/>
  <c r="I543" i="21"/>
  <c r="I542" i="21" s="1"/>
  <c r="I541" i="21" s="1"/>
  <c r="I540" i="21" s="1"/>
  <c r="I539" i="21" s="1"/>
  <c r="J543" i="21"/>
  <c r="I549" i="21"/>
  <c r="I548" i="21" s="1"/>
  <c r="J549" i="21"/>
  <c r="I552" i="21"/>
  <c r="I551" i="21" s="1"/>
  <c r="J552" i="21"/>
  <c r="I557" i="21"/>
  <c r="I556" i="21" s="1"/>
  <c r="I555" i="21" s="1"/>
  <c r="I554" i="21" s="1"/>
  <c r="J557" i="21"/>
  <c r="I562" i="21"/>
  <c r="J562" i="21"/>
  <c r="I564" i="21"/>
  <c r="J564" i="21"/>
  <c r="I570" i="21"/>
  <c r="I569" i="21" s="1"/>
  <c r="J570" i="21"/>
  <c r="I574" i="21"/>
  <c r="I573" i="21" s="1"/>
  <c r="J574" i="21"/>
  <c r="J580" i="21"/>
  <c r="I580" i="21"/>
  <c r="J582" i="21"/>
  <c r="I582" i="21"/>
  <c r="I584" i="21"/>
  <c r="J584" i="21"/>
  <c r="J587" i="21"/>
  <c r="I587" i="21"/>
  <c r="I586" i="21" s="1"/>
  <c r="I590" i="21"/>
  <c r="J590" i="21"/>
  <c r="I592" i="21"/>
  <c r="J592" i="21"/>
  <c r="J598" i="21"/>
  <c r="I598" i="21"/>
  <c r="I597" i="21" s="1"/>
  <c r="I601" i="21"/>
  <c r="J601" i="21"/>
  <c r="I603" i="21"/>
  <c r="J603" i="21"/>
  <c r="J607" i="21"/>
  <c r="I607" i="21"/>
  <c r="I606" i="21" s="1"/>
  <c r="I610" i="21"/>
  <c r="I609" i="21" s="1"/>
  <c r="J610" i="21"/>
  <c r="I613" i="21"/>
  <c r="I612" i="21" s="1"/>
  <c r="J613" i="21"/>
  <c r="I616" i="21"/>
  <c r="I615" i="21" s="1"/>
  <c r="J616" i="21"/>
  <c r="I624" i="21"/>
  <c r="I623" i="21" s="1"/>
  <c r="J624" i="21"/>
  <c r="I627" i="21"/>
  <c r="I626" i="21" s="1"/>
  <c r="J627" i="21"/>
  <c r="I631" i="21"/>
  <c r="I630" i="21" s="1"/>
  <c r="I629" i="21" s="1"/>
  <c r="J631" i="21"/>
  <c r="I634" i="21"/>
  <c r="I633" i="21" s="1"/>
  <c r="J634" i="21"/>
  <c r="I637" i="21"/>
  <c r="I636" i="21" s="1"/>
  <c r="J637" i="21"/>
  <c r="I642" i="21"/>
  <c r="I641" i="21" s="1"/>
  <c r="J642" i="21"/>
  <c r="I645" i="21"/>
  <c r="I644" i="21" s="1"/>
  <c r="J645" i="21"/>
  <c r="J650" i="21"/>
  <c r="I650" i="21"/>
  <c r="I649" i="21" s="1"/>
  <c r="I653" i="21"/>
  <c r="I652" i="21" s="1"/>
  <c r="J653" i="21"/>
  <c r="J656" i="21"/>
  <c r="I656" i="21"/>
  <c r="I655" i="21" s="1"/>
  <c r="I659" i="21"/>
  <c r="I658" i="21" s="1"/>
  <c r="J659" i="21"/>
  <c r="J665" i="21"/>
  <c r="I665" i="21"/>
  <c r="I664" i="21" s="1"/>
  <c r="I668" i="21"/>
  <c r="J668" i="21"/>
  <c r="I670" i="21"/>
  <c r="J670" i="21"/>
  <c r="J674" i="21"/>
  <c r="I674" i="21"/>
  <c r="I673" i="21" s="1"/>
  <c r="I677" i="21"/>
  <c r="J677" i="21"/>
  <c r="I679" i="21"/>
  <c r="J679" i="21"/>
  <c r="I686" i="21"/>
  <c r="I685" i="21" s="1"/>
  <c r="I684" i="21" s="1"/>
  <c r="I683" i="21" s="1"/>
  <c r="I682" i="21" s="1"/>
  <c r="J686" i="21"/>
  <c r="I691" i="21"/>
  <c r="I690" i="21" s="1"/>
  <c r="I689" i="21" s="1"/>
  <c r="J691" i="21"/>
  <c r="J696" i="21"/>
  <c r="I696" i="21"/>
  <c r="I695" i="21" s="1"/>
  <c r="I699" i="21"/>
  <c r="I698" i="21" s="1"/>
  <c r="J699" i="21"/>
  <c r="I704" i="21"/>
  <c r="I703" i="21" s="1"/>
  <c r="J704" i="21"/>
  <c r="I707" i="21"/>
  <c r="I706" i="21" s="1"/>
  <c r="J707" i="21"/>
  <c r="I710" i="21"/>
  <c r="I709" i="21" s="1"/>
  <c r="J710" i="21"/>
  <c r="I716" i="21"/>
  <c r="I715" i="21" s="1"/>
  <c r="I714" i="21" s="1"/>
  <c r="I713" i="21" s="1"/>
  <c r="I712" i="21" s="1"/>
  <c r="J716" i="21"/>
  <c r="I723" i="21"/>
  <c r="I722" i="21" s="1"/>
  <c r="I721" i="21" s="1"/>
  <c r="J723" i="21"/>
  <c r="J728" i="21"/>
  <c r="I728" i="21"/>
  <c r="I727" i="21" s="1"/>
  <c r="I726" i="21" s="1"/>
  <c r="I725" i="21" s="1"/>
  <c r="I735" i="21"/>
  <c r="I734" i="21" s="1"/>
  <c r="I733" i="21" s="1"/>
  <c r="J735" i="21"/>
  <c r="J738" i="21"/>
  <c r="I738" i="21"/>
  <c r="I740" i="21"/>
  <c r="J740" i="21"/>
  <c r="J747" i="21"/>
  <c r="I747" i="21"/>
  <c r="J749" i="21"/>
  <c r="I749" i="21"/>
  <c r="I751" i="21"/>
  <c r="J751" i="21"/>
  <c r="I753" i="21"/>
  <c r="J753" i="21"/>
  <c r="J758" i="21"/>
  <c r="I758" i="21"/>
  <c r="I757" i="21" s="1"/>
  <c r="I756" i="21" s="1"/>
  <c r="I755" i="21" s="1"/>
  <c r="I764" i="21"/>
  <c r="I763" i="21" s="1"/>
  <c r="I762" i="21" s="1"/>
  <c r="I761" i="21" s="1"/>
  <c r="I760" i="21" s="1"/>
  <c r="J764" i="21"/>
  <c r="G12" i="8"/>
  <c r="G11" i="8" s="1"/>
  <c r="G10" i="8" s="1"/>
  <c r="G9" i="8" s="1"/>
  <c r="H12" i="8"/>
  <c r="G17" i="8"/>
  <c r="G16" i="8" s="1"/>
  <c r="G15" i="8" s="1"/>
  <c r="G14" i="8" s="1"/>
  <c r="H17" i="8"/>
  <c r="G23" i="8"/>
  <c r="G22" i="8" s="1"/>
  <c r="G21" i="8" s="1"/>
  <c r="G20" i="8" s="1"/>
  <c r="H23" i="8"/>
  <c r="G28" i="8"/>
  <c r="G27" i="8" s="1"/>
  <c r="G26" i="8" s="1"/>
  <c r="G25" i="8" s="1"/>
  <c r="H28" i="8"/>
  <c r="G33" i="8"/>
  <c r="G32" i="8" s="1"/>
  <c r="G31" i="8" s="1"/>
  <c r="G30" i="8" s="1"/>
  <c r="H33" i="8"/>
  <c r="G38" i="8"/>
  <c r="G37" i="8" s="1"/>
  <c r="G36" i="8" s="1"/>
  <c r="G35" i="8" s="1"/>
  <c r="H38" i="8"/>
  <c r="G43" i="8"/>
  <c r="G42" i="8" s="1"/>
  <c r="G41" i="8" s="1"/>
  <c r="G40" i="8" s="1"/>
  <c r="H43" i="8"/>
  <c r="G48" i="8"/>
  <c r="G47" i="8" s="1"/>
  <c r="G46" i="8" s="1"/>
  <c r="G45" i="8" s="1"/>
  <c r="H48" i="8"/>
  <c r="G54" i="8"/>
  <c r="G53" i="8" s="1"/>
  <c r="G52" i="8" s="1"/>
  <c r="G51" i="8" s="1"/>
  <c r="H54" i="8"/>
  <c r="G59" i="8"/>
  <c r="G58" i="8" s="1"/>
  <c r="G57" i="8" s="1"/>
  <c r="G56" i="8" s="1"/>
  <c r="H59" i="8"/>
  <c r="G65" i="8"/>
  <c r="G64" i="8" s="1"/>
  <c r="G63" i="8" s="1"/>
  <c r="G62" i="8" s="1"/>
  <c r="G61" i="8" s="1"/>
  <c r="H65" i="8"/>
  <c r="G72" i="8"/>
  <c r="G71" i="8" s="1"/>
  <c r="G70" i="8" s="1"/>
  <c r="G69" i="8" s="1"/>
  <c r="H72" i="8"/>
  <c r="G77" i="8"/>
  <c r="H77" i="8"/>
  <c r="G79" i="8"/>
  <c r="H79" i="8"/>
  <c r="G84" i="8"/>
  <c r="G83" i="8" s="1"/>
  <c r="G82" i="8" s="1"/>
  <c r="G81" i="8" s="1"/>
  <c r="H84" i="8"/>
  <c r="G90" i="8"/>
  <c r="G89" i="8" s="1"/>
  <c r="G88" i="8" s="1"/>
  <c r="G87" i="8" s="1"/>
  <c r="G86" i="8" s="1"/>
  <c r="H90" i="8"/>
  <c r="G96" i="8"/>
  <c r="H96" i="8"/>
  <c r="G98" i="8"/>
  <c r="H98" i="8"/>
  <c r="H103" i="8"/>
  <c r="G103" i="8"/>
  <c r="G102" i="8" s="1"/>
  <c r="G101" i="8" s="1"/>
  <c r="G100" i="8" s="1"/>
  <c r="G108" i="8"/>
  <c r="H108" i="8"/>
  <c r="G110" i="8"/>
  <c r="H110" i="8"/>
  <c r="H115" i="8"/>
  <c r="G115" i="8"/>
  <c r="G117" i="8"/>
  <c r="H117" i="8"/>
  <c r="G122" i="8"/>
  <c r="H122" i="8"/>
  <c r="G124" i="8"/>
  <c r="H124" i="8"/>
  <c r="H129" i="8"/>
  <c r="G129" i="8"/>
  <c r="G131" i="8"/>
  <c r="H131" i="8"/>
  <c r="H138" i="8"/>
  <c r="G138" i="8"/>
  <c r="G140" i="8"/>
  <c r="H140" i="8"/>
  <c r="H142" i="8"/>
  <c r="G142" i="8"/>
  <c r="G147" i="8"/>
  <c r="G146" i="8" s="1"/>
  <c r="G145" i="8" s="1"/>
  <c r="G144" i="8" s="1"/>
  <c r="H147" i="8"/>
  <c r="G153" i="8"/>
  <c r="G152" i="8" s="1"/>
  <c r="G151" i="8" s="1"/>
  <c r="G150" i="8" s="1"/>
  <c r="H153" i="8"/>
  <c r="G158" i="8"/>
  <c r="G157" i="8" s="1"/>
  <c r="G156" i="8" s="1"/>
  <c r="G155" i="8" s="1"/>
  <c r="H158" i="8"/>
  <c r="G163" i="8"/>
  <c r="G162" i="8" s="1"/>
  <c r="G161" i="8" s="1"/>
  <c r="G160" i="8" s="1"/>
  <c r="H163" i="8"/>
  <c r="G168" i="8"/>
  <c r="G167" i="8" s="1"/>
  <c r="G166" i="8" s="1"/>
  <c r="G165" i="8" s="1"/>
  <c r="H168" i="8"/>
  <c r="G173" i="8"/>
  <c r="G172" i="8" s="1"/>
  <c r="G171" i="8" s="1"/>
  <c r="G170" i="8" s="1"/>
  <c r="H173" i="8"/>
  <c r="G178" i="8"/>
  <c r="G177" i="8" s="1"/>
  <c r="G176" i="8" s="1"/>
  <c r="G175" i="8" s="1"/>
  <c r="H178" i="8"/>
  <c r="H183" i="8"/>
  <c r="G183" i="8"/>
  <c r="G182" i="8" s="1"/>
  <c r="G181" i="8" s="1"/>
  <c r="G180" i="8" s="1"/>
  <c r="G188" i="8"/>
  <c r="G187" i="8" s="1"/>
  <c r="G186" i="8" s="1"/>
  <c r="G185" i="8" s="1"/>
  <c r="H188" i="8"/>
  <c r="G193" i="8"/>
  <c r="H193" i="8"/>
  <c r="G195" i="8"/>
  <c r="H195" i="8"/>
  <c r="G197" i="8"/>
  <c r="H197" i="8"/>
  <c r="G202" i="8"/>
  <c r="G201" i="8" s="1"/>
  <c r="G200" i="8" s="1"/>
  <c r="G199" i="8" s="1"/>
  <c r="H202" i="8"/>
  <c r="G207" i="8"/>
  <c r="G206" i="8" s="1"/>
  <c r="G205" i="8" s="1"/>
  <c r="G204" i="8" s="1"/>
  <c r="H207" i="8"/>
  <c r="G214" i="8"/>
  <c r="G213" i="8" s="1"/>
  <c r="G212" i="8" s="1"/>
  <c r="G211" i="8" s="1"/>
  <c r="H214" i="8"/>
  <c r="G219" i="8"/>
  <c r="H219" i="8"/>
  <c r="G221" i="8"/>
  <c r="H221" i="8"/>
  <c r="G226" i="8"/>
  <c r="G225" i="8" s="1"/>
  <c r="G224" i="8" s="1"/>
  <c r="G223" i="8" s="1"/>
  <c r="H226" i="8"/>
  <c r="G231" i="8"/>
  <c r="G230" i="8" s="1"/>
  <c r="G229" i="8" s="1"/>
  <c r="G228" i="8" s="1"/>
  <c r="H231" i="8"/>
  <c r="G236" i="8"/>
  <c r="G235" i="8" s="1"/>
  <c r="G234" i="8" s="1"/>
  <c r="G233" i="8" s="1"/>
  <c r="H236" i="8"/>
  <c r="G242" i="8"/>
  <c r="G241" i="8" s="1"/>
  <c r="G240" i="8" s="1"/>
  <c r="G239" i="8" s="1"/>
  <c r="H242" i="8"/>
  <c r="G247" i="8"/>
  <c r="G246" i="8" s="1"/>
  <c r="G245" i="8" s="1"/>
  <c r="G244" i="8" s="1"/>
  <c r="H247" i="8"/>
  <c r="G252" i="8"/>
  <c r="G251" i="8" s="1"/>
  <c r="G250" i="8" s="1"/>
  <c r="G249" i="8" s="1"/>
  <c r="H252" i="8"/>
  <c r="G257" i="8"/>
  <c r="G256" i="8" s="1"/>
  <c r="G255" i="8" s="1"/>
  <c r="G254" i="8" s="1"/>
  <c r="H257" i="8"/>
  <c r="H262" i="8"/>
  <c r="G262" i="8"/>
  <c r="G261" i="8" s="1"/>
  <c r="G260" i="8" s="1"/>
  <c r="G259" i="8" s="1"/>
  <c r="G269" i="8"/>
  <c r="G268" i="8" s="1"/>
  <c r="G267" i="8" s="1"/>
  <c r="G266" i="8" s="1"/>
  <c r="G265" i="8" s="1"/>
  <c r="G264" i="8" s="1"/>
  <c r="H269" i="8"/>
  <c r="G276" i="8"/>
  <c r="G275" i="8" s="1"/>
  <c r="G274" i="8" s="1"/>
  <c r="G273" i="8" s="1"/>
  <c r="H276" i="8"/>
  <c r="H282" i="8"/>
  <c r="H281" i="8" s="1"/>
  <c r="H280" i="8" s="1"/>
  <c r="H279" i="8" s="1"/>
  <c r="G282" i="8"/>
  <c r="G281" i="8" s="1"/>
  <c r="G280" i="8" s="1"/>
  <c r="G279" i="8" s="1"/>
  <c r="G288" i="8"/>
  <c r="G287" i="8" s="1"/>
  <c r="G286" i="8" s="1"/>
  <c r="G285" i="8" s="1"/>
  <c r="H288" i="8"/>
  <c r="H293" i="8"/>
  <c r="G293" i="8"/>
  <c r="G292" i="8" s="1"/>
  <c r="G291" i="8" s="1"/>
  <c r="G290" i="8" s="1"/>
  <c r="G299" i="8"/>
  <c r="G298" i="8" s="1"/>
  <c r="G297" i="8" s="1"/>
  <c r="G296" i="8" s="1"/>
  <c r="H299" i="8"/>
  <c r="H298" i="8" s="1"/>
  <c r="H297" i="8" s="1"/>
  <c r="H296" i="8" s="1"/>
  <c r="G305" i="8"/>
  <c r="G304" i="8" s="1"/>
  <c r="G303" i="8" s="1"/>
  <c r="G302" i="8" s="1"/>
  <c r="H305" i="8"/>
  <c r="H311" i="8"/>
  <c r="G311" i="8"/>
  <c r="G310" i="8" s="1"/>
  <c r="G309" i="8" s="1"/>
  <c r="G308" i="8" s="1"/>
  <c r="G317" i="8"/>
  <c r="G316" i="8" s="1"/>
  <c r="G315" i="8" s="1"/>
  <c r="G314" i="8" s="1"/>
  <c r="H317" i="8"/>
  <c r="G323" i="8"/>
  <c r="G322" i="8" s="1"/>
  <c r="G321" i="8" s="1"/>
  <c r="G320" i="8" s="1"/>
  <c r="H323" i="8"/>
  <c r="G329" i="8"/>
  <c r="G328" i="8" s="1"/>
  <c r="G327" i="8" s="1"/>
  <c r="G326" i="8" s="1"/>
  <c r="H329" i="8"/>
  <c r="G337" i="8"/>
  <c r="H337" i="8"/>
  <c r="G339" i="8"/>
  <c r="H339" i="8"/>
  <c r="G341" i="8"/>
  <c r="H341" i="8"/>
  <c r="G346" i="8"/>
  <c r="G345" i="8" s="1"/>
  <c r="H346" i="8"/>
  <c r="H351" i="8"/>
  <c r="G351" i="8"/>
  <c r="G353" i="8"/>
  <c r="H353" i="8"/>
  <c r="G359" i="8"/>
  <c r="G358" i="8" s="1"/>
  <c r="G357" i="8" s="1"/>
  <c r="G356" i="8" s="1"/>
  <c r="H359" i="8"/>
  <c r="G364" i="8"/>
  <c r="G363" i="8" s="1"/>
  <c r="G362" i="8" s="1"/>
  <c r="G361" i="8" s="1"/>
  <c r="H364" i="8"/>
  <c r="G370" i="8"/>
  <c r="G369" i="8" s="1"/>
  <c r="G368" i="8" s="1"/>
  <c r="G367" i="8" s="1"/>
  <c r="H370" i="8"/>
  <c r="G375" i="8"/>
  <c r="G374" i="8" s="1"/>
  <c r="G373" i="8" s="1"/>
  <c r="G372" i="8" s="1"/>
  <c r="H375" i="8"/>
  <c r="G383" i="8"/>
  <c r="G382" i="8" s="1"/>
  <c r="G381" i="8" s="1"/>
  <c r="G380" i="8" s="1"/>
  <c r="H383" i="8"/>
  <c r="H388" i="8"/>
  <c r="G388" i="8"/>
  <c r="G390" i="8"/>
  <c r="H390" i="8"/>
  <c r="H397" i="8"/>
  <c r="G397" i="8"/>
  <c r="G396" i="8" s="1"/>
  <c r="G395" i="8" s="1"/>
  <c r="G394" i="8" s="1"/>
  <c r="G402" i="8"/>
  <c r="G401" i="8" s="1"/>
  <c r="G400" i="8" s="1"/>
  <c r="G399" i="8" s="1"/>
  <c r="H402" i="8"/>
  <c r="H407" i="8"/>
  <c r="G407" i="8"/>
  <c r="G406" i="8" s="1"/>
  <c r="G405" i="8" s="1"/>
  <c r="G404" i="8" s="1"/>
  <c r="G412" i="8"/>
  <c r="G411" i="8" s="1"/>
  <c r="G410" i="8" s="1"/>
  <c r="G409" i="8" s="1"/>
  <c r="H412" i="8"/>
  <c r="H418" i="8"/>
  <c r="G418" i="8"/>
  <c r="G417" i="8" s="1"/>
  <c r="G416" i="8" s="1"/>
  <c r="G415" i="8" s="1"/>
  <c r="G423" i="8"/>
  <c r="G422" i="8" s="1"/>
  <c r="G421" i="8" s="1"/>
  <c r="G420" i="8" s="1"/>
  <c r="G414" i="8" s="1"/>
  <c r="H423" i="8"/>
  <c r="G430" i="8"/>
  <c r="G429" i="8" s="1"/>
  <c r="G428" i="8" s="1"/>
  <c r="G427" i="8" s="1"/>
  <c r="G426" i="8" s="1"/>
  <c r="H430" i="8"/>
  <c r="G436" i="8"/>
  <c r="G435" i="8" s="1"/>
  <c r="G434" i="8" s="1"/>
  <c r="G433" i="8" s="1"/>
  <c r="G432" i="8" s="1"/>
  <c r="H436" i="8"/>
  <c r="H441" i="8"/>
  <c r="G441" i="8"/>
  <c r="G440" i="8" s="1"/>
  <c r="G439" i="8" s="1"/>
  <c r="G438" i="8" s="1"/>
  <c r="G446" i="8"/>
  <c r="G445" i="8" s="1"/>
  <c r="G444" i="8" s="1"/>
  <c r="G443" i="8" s="1"/>
  <c r="H446" i="8"/>
  <c r="G451" i="8"/>
  <c r="G450" i="8" s="1"/>
  <c r="G449" i="8" s="1"/>
  <c r="G448" i="8" s="1"/>
  <c r="H451" i="8"/>
  <c r="G456" i="8"/>
  <c r="G455" i="8" s="1"/>
  <c r="G454" i="8" s="1"/>
  <c r="G453" i="8" s="1"/>
  <c r="H456" i="8"/>
  <c r="H464" i="8"/>
  <c r="G464" i="8"/>
  <c r="G463" i="8" s="1"/>
  <c r="G462" i="8" s="1"/>
  <c r="G461" i="8" s="1"/>
  <c r="G469" i="8"/>
  <c r="H469" i="8"/>
  <c r="G471" i="8"/>
  <c r="H471" i="8"/>
  <c r="G478" i="8"/>
  <c r="G477" i="8" s="1"/>
  <c r="G476" i="8" s="1"/>
  <c r="G475" i="8" s="1"/>
  <c r="H478" i="8"/>
  <c r="G483" i="8"/>
  <c r="G482" i="8" s="1"/>
  <c r="G481" i="8" s="1"/>
  <c r="G480" i="8" s="1"/>
  <c r="H483" i="8"/>
  <c r="G488" i="8"/>
  <c r="G487" i="8" s="1"/>
  <c r="G486" i="8" s="1"/>
  <c r="G485" i="8" s="1"/>
  <c r="H488" i="8"/>
  <c r="G494" i="8"/>
  <c r="G493" i="8" s="1"/>
  <c r="G492" i="8" s="1"/>
  <c r="G491" i="8" s="1"/>
  <c r="G490" i="8" s="1"/>
  <c r="H494" i="8"/>
  <c r="G500" i="8"/>
  <c r="H500" i="8"/>
  <c r="H502" i="8"/>
  <c r="G502" i="8"/>
  <c r="G507" i="8"/>
  <c r="G506" i="8" s="1"/>
  <c r="G505" i="8" s="1"/>
  <c r="G504" i="8" s="1"/>
  <c r="H507" i="8"/>
  <c r="G513" i="8"/>
  <c r="H513" i="8"/>
  <c r="G515" i="8"/>
  <c r="H515" i="8"/>
  <c r="G521" i="8"/>
  <c r="G520" i="8" s="1"/>
  <c r="G519" i="8" s="1"/>
  <c r="G518" i="8" s="1"/>
  <c r="H521" i="8"/>
  <c r="H526" i="8"/>
  <c r="G526" i="8"/>
  <c r="G525" i="8" s="1"/>
  <c r="G524" i="8" s="1"/>
  <c r="G523" i="8" s="1"/>
  <c r="G531" i="8"/>
  <c r="G530" i="8" s="1"/>
  <c r="G529" i="8" s="1"/>
  <c r="G528" i="8" s="1"/>
  <c r="H531" i="8"/>
  <c r="G536" i="8"/>
  <c r="G535" i="8" s="1"/>
  <c r="G534" i="8" s="1"/>
  <c r="G533" i="8" s="1"/>
  <c r="H536" i="8"/>
  <c r="G542" i="8"/>
  <c r="G541" i="8" s="1"/>
  <c r="G540" i="8" s="1"/>
  <c r="G539" i="8" s="1"/>
  <c r="H542" i="8"/>
  <c r="G547" i="8"/>
  <c r="G546" i="8" s="1"/>
  <c r="G545" i="8" s="1"/>
  <c r="G544" i="8" s="1"/>
  <c r="H547" i="8"/>
  <c r="G552" i="8"/>
  <c r="G551" i="8" s="1"/>
  <c r="G550" i="8" s="1"/>
  <c r="G549" i="8" s="1"/>
  <c r="H552" i="8"/>
  <c r="G557" i="8"/>
  <c r="G556" i="8" s="1"/>
  <c r="G555" i="8" s="1"/>
  <c r="G554" i="8" s="1"/>
  <c r="H557" i="8"/>
  <c r="H563" i="8"/>
  <c r="G563" i="8"/>
  <c r="H565" i="8"/>
  <c r="G565" i="8"/>
  <c r="H567" i="8"/>
  <c r="G567" i="8"/>
  <c r="G572" i="8"/>
  <c r="G571" i="8" s="1"/>
  <c r="G570" i="8" s="1"/>
  <c r="G569" i="8" s="1"/>
  <c r="H572" i="8"/>
  <c r="G577" i="8"/>
  <c r="G576" i="8" s="1"/>
  <c r="G575" i="8" s="1"/>
  <c r="G574" i="8" s="1"/>
  <c r="H577" i="8"/>
  <c r="G582" i="8"/>
  <c r="G581" i="8" s="1"/>
  <c r="G580" i="8" s="1"/>
  <c r="G579" i="8" s="1"/>
  <c r="H582" i="8"/>
  <c r="G587" i="8"/>
  <c r="G586" i="8" s="1"/>
  <c r="G585" i="8" s="1"/>
  <c r="G584" i="8" s="1"/>
  <c r="H587" i="8"/>
  <c r="G594" i="8"/>
  <c r="G593" i="8" s="1"/>
  <c r="G592" i="8" s="1"/>
  <c r="G591" i="8" s="1"/>
  <c r="H594" i="8"/>
  <c r="G599" i="8"/>
  <c r="H599" i="8"/>
  <c r="G601" i="8"/>
  <c r="H601" i="8"/>
  <c r="H607" i="8"/>
  <c r="G607" i="8"/>
  <c r="G606" i="8" s="1"/>
  <c r="G605" i="8" s="1"/>
  <c r="G604" i="8" s="1"/>
  <c r="G612" i="8"/>
  <c r="G611" i="8" s="1"/>
  <c r="G610" i="8" s="1"/>
  <c r="G609" i="8" s="1"/>
  <c r="H612" i="8"/>
  <c r="G617" i="8"/>
  <c r="G616" i="8" s="1"/>
  <c r="G615" i="8" s="1"/>
  <c r="G614" i="8" s="1"/>
  <c r="H617" i="8"/>
  <c r="G622" i="8"/>
  <c r="G621" i="8" s="1"/>
  <c r="G620" i="8" s="1"/>
  <c r="G619" i="8" s="1"/>
  <c r="H622" i="8"/>
  <c r="G627" i="8"/>
  <c r="G626" i="8" s="1"/>
  <c r="G625" i="8" s="1"/>
  <c r="G624" i="8" s="1"/>
  <c r="H627" i="8"/>
  <c r="G632" i="8"/>
  <c r="H632" i="8"/>
  <c r="G634" i="8"/>
  <c r="H634" i="8"/>
  <c r="H639" i="8"/>
  <c r="G639" i="8"/>
  <c r="G638" i="8" s="1"/>
  <c r="G637" i="8" s="1"/>
  <c r="G636" i="8" s="1"/>
  <c r="G644" i="8"/>
  <c r="G643" i="8" s="1"/>
  <c r="G642" i="8" s="1"/>
  <c r="G641" i="8" s="1"/>
  <c r="H644" i="8"/>
  <c r="G649" i="8"/>
  <c r="G648" i="8" s="1"/>
  <c r="G647" i="8" s="1"/>
  <c r="G646" i="8" s="1"/>
  <c r="H649" i="8"/>
  <c r="H654" i="8"/>
  <c r="G654" i="8"/>
  <c r="G653" i="8" s="1"/>
  <c r="G652" i="8" s="1"/>
  <c r="G651" i="8" s="1"/>
  <c r="G659" i="8"/>
  <c r="G658" i="8" s="1"/>
  <c r="G657" i="8" s="1"/>
  <c r="G656" i="8" s="1"/>
  <c r="H659" i="8"/>
  <c r="G664" i="8"/>
  <c r="G663" i="8" s="1"/>
  <c r="G662" i="8" s="1"/>
  <c r="G661" i="8" s="1"/>
  <c r="H664" i="8"/>
  <c r="G669" i="8"/>
  <c r="G668" i="8" s="1"/>
  <c r="G667" i="8" s="1"/>
  <c r="G666" i="8" s="1"/>
  <c r="H669" i="8"/>
  <c r="G674" i="8"/>
  <c r="G673" i="8" s="1"/>
  <c r="G672" i="8" s="1"/>
  <c r="G671" i="8" s="1"/>
  <c r="H674" i="8"/>
  <c r="G679" i="8"/>
  <c r="G678" i="8" s="1"/>
  <c r="G677" i="8" s="1"/>
  <c r="G676" i="8" s="1"/>
  <c r="H679" i="8"/>
  <c r="G682" i="8"/>
  <c r="G681" i="8" s="1"/>
  <c r="H682" i="8"/>
  <c r="G685" i="8"/>
  <c r="G684" i="8" s="1"/>
  <c r="H685" i="8"/>
  <c r="G688" i="8"/>
  <c r="G687" i="8" s="1"/>
  <c r="H688" i="8"/>
  <c r="G693" i="8"/>
  <c r="G692" i="8" s="1"/>
  <c r="G691" i="8" s="1"/>
  <c r="G690" i="8" s="1"/>
  <c r="H693" i="8"/>
  <c r="H698" i="8"/>
  <c r="G698" i="8"/>
  <c r="G697" i="8" s="1"/>
  <c r="G696" i="8" s="1"/>
  <c r="G695" i="8" s="1"/>
  <c r="G705" i="8"/>
  <c r="G704" i="8" s="1"/>
  <c r="G703" i="8" s="1"/>
  <c r="G702" i="8" s="1"/>
  <c r="G701" i="8" s="1"/>
  <c r="H705" i="8"/>
  <c r="G711" i="8"/>
  <c r="G710" i="8" s="1"/>
  <c r="G709" i="8" s="1"/>
  <c r="G708" i="8" s="1"/>
  <c r="G707" i="8" s="1"/>
  <c r="H711" i="8"/>
  <c r="H718" i="8"/>
  <c r="G718" i="8"/>
  <c r="G717" i="8" s="1"/>
  <c r="G716" i="8" s="1"/>
  <c r="G715" i="8" s="1"/>
  <c r="G714" i="8" s="1"/>
  <c r="G713" i="8" s="1"/>
  <c r="G725" i="8"/>
  <c r="G724" i="8" s="1"/>
  <c r="G723" i="8" s="1"/>
  <c r="G722" i="8" s="1"/>
  <c r="H725" i="8"/>
  <c r="H730" i="8"/>
  <c r="G730" i="8"/>
  <c r="G732" i="8"/>
  <c r="H732" i="8"/>
  <c r="G739" i="8"/>
  <c r="G738" i="8" s="1"/>
  <c r="G737" i="8" s="1"/>
  <c r="G736" i="8" s="1"/>
  <c r="G735" i="8" s="1"/>
  <c r="G734" i="8" s="1"/>
  <c r="H739" i="8"/>
  <c r="G745" i="8"/>
  <c r="G744" i="8" s="1"/>
  <c r="G743" i="8" s="1"/>
  <c r="G742" i="8" s="1"/>
  <c r="H745" i="8"/>
  <c r="G750" i="8"/>
  <c r="G749" i="8" s="1"/>
  <c r="G748" i="8" s="1"/>
  <c r="G747" i="8" s="1"/>
  <c r="H750" i="8"/>
  <c r="G756" i="8"/>
  <c r="G755" i="8" s="1"/>
  <c r="G754" i="8" s="1"/>
  <c r="G753" i="8" s="1"/>
  <c r="H756" i="8"/>
  <c r="G761" i="8"/>
  <c r="G760" i="8" s="1"/>
  <c r="G759" i="8" s="1"/>
  <c r="H761" i="8"/>
  <c r="G765" i="8"/>
  <c r="H765" i="8"/>
  <c r="G767" i="8"/>
  <c r="H767" i="8"/>
  <c r="G772" i="8"/>
  <c r="G771" i="8" s="1"/>
  <c r="G770" i="8" s="1"/>
  <c r="G769" i="8" s="1"/>
  <c r="H772" i="8"/>
  <c r="G778" i="8"/>
  <c r="G777" i="8" s="1"/>
  <c r="G776" i="8" s="1"/>
  <c r="G775" i="8" s="1"/>
  <c r="H778" i="8"/>
  <c r="H783" i="8"/>
  <c r="G783" i="8"/>
  <c r="G785" i="8"/>
  <c r="H785" i="8"/>
  <c r="G791" i="8"/>
  <c r="H791" i="8"/>
  <c r="G793" i="8"/>
  <c r="H793" i="8"/>
  <c r="G798" i="8"/>
  <c r="H798" i="8"/>
  <c r="G800" i="8"/>
  <c r="H800" i="8"/>
  <c r="G805" i="8"/>
  <c r="G804" i="8" s="1"/>
  <c r="G803" i="8" s="1"/>
  <c r="H805" i="8"/>
  <c r="G809" i="8"/>
  <c r="H809" i="8"/>
  <c r="G811" i="8"/>
  <c r="H811" i="8"/>
  <c r="G817" i="8"/>
  <c r="G816" i="8" s="1"/>
  <c r="G815" i="8" s="1"/>
  <c r="G814" i="8" s="1"/>
  <c r="H817" i="8"/>
  <c r="G822" i="8"/>
  <c r="H822" i="8"/>
  <c r="G824" i="8"/>
  <c r="H824" i="8"/>
  <c r="G830" i="8"/>
  <c r="G829" i="8" s="1"/>
  <c r="G828" i="8" s="1"/>
  <c r="G827" i="8" s="1"/>
  <c r="H830" i="8"/>
  <c r="H835" i="8"/>
  <c r="G835" i="8"/>
  <c r="H837" i="8"/>
  <c r="G837" i="8"/>
  <c r="G839" i="8"/>
  <c r="H839" i="8"/>
  <c r="G844" i="8"/>
  <c r="G843" i="8" s="1"/>
  <c r="G842" i="8" s="1"/>
  <c r="G841" i="8" s="1"/>
  <c r="H844" i="8"/>
  <c r="G849" i="8"/>
  <c r="H849" i="8"/>
  <c r="G851" i="8"/>
  <c r="H851" i="8"/>
  <c r="G853" i="8"/>
  <c r="H853" i="8"/>
  <c r="G858" i="8"/>
  <c r="G857" i="8" s="1"/>
  <c r="G856" i="8" s="1"/>
  <c r="G855" i="8" s="1"/>
  <c r="H858" i="8"/>
  <c r="G863" i="8"/>
  <c r="G862" i="8" s="1"/>
  <c r="G861" i="8" s="1"/>
  <c r="G860" i="8" s="1"/>
  <c r="H863" i="8"/>
  <c r="G868" i="8"/>
  <c r="G867" i="8" s="1"/>
  <c r="G866" i="8" s="1"/>
  <c r="G865" i="8" s="1"/>
  <c r="H868" i="8"/>
  <c r="G873" i="8"/>
  <c r="H873" i="8"/>
  <c r="G875" i="8"/>
  <c r="H875" i="8"/>
  <c r="G877" i="8"/>
  <c r="H877" i="8"/>
  <c r="H882" i="8"/>
  <c r="G882" i="8"/>
  <c r="G881" i="8" s="1"/>
  <c r="G880" i="8" s="1"/>
  <c r="G879" i="8" s="1"/>
  <c r="G887" i="8"/>
  <c r="G886" i="8" s="1"/>
  <c r="G885" i="8" s="1"/>
  <c r="G884" i="8" s="1"/>
  <c r="H887" i="8"/>
  <c r="G892" i="8"/>
  <c r="G891" i="8" s="1"/>
  <c r="G890" i="8" s="1"/>
  <c r="G889" i="8" s="1"/>
  <c r="H892" i="8"/>
  <c r="G897" i="8"/>
  <c r="G896" i="8" s="1"/>
  <c r="G895" i="8" s="1"/>
  <c r="G894" i="8" s="1"/>
  <c r="H897" i="8"/>
  <c r="H903" i="8"/>
  <c r="G903" i="8"/>
  <c r="H905" i="8"/>
  <c r="G905" i="8"/>
  <c r="G907" i="8"/>
  <c r="H907" i="8"/>
  <c r="G909" i="8"/>
  <c r="H909" i="8"/>
  <c r="H914" i="8"/>
  <c r="G914" i="8"/>
  <c r="G913" i="8" s="1"/>
  <c r="G912" i="8" s="1"/>
  <c r="G911" i="8" s="1"/>
  <c r="G919" i="8"/>
  <c r="G918" i="8" s="1"/>
  <c r="G917" i="8" s="1"/>
  <c r="G916" i="8" s="1"/>
  <c r="H919" i="8"/>
  <c r="H924" i="8"/>
  <c r="G924" i="8"/>
  <c r="G926" i="8"/>
  <c r="H926" i="8"/>
  <c r="G932" i="8"/>
  <c r="G931" i="8" s="1"/>
  <c r="G930" i="8" s="1"/>
  <c r="G929" i="8" s="1"/>
  <c r="G928" i="8" s="1"/>
  <c r="H932" i="8"/>
  <c r="G937" i="8"/>
  <c r="G936" i="8" s="1"/>
  <c r="G935" i="8" s="1"/>
  <c r="G934" i="8" s="1"/>
  <c r="H937" i="8"/>
  <c r="H942" i="8"/>
  <c r="G942" i="8"/>
  <c r="G941" i="8" s="1"/>
  <c r="G940" i="8" s="1"/>
  <c r="G939" i="8" s="1"/>
  <c r="G948" i="8"/>
  <c r="G947" i="8" s="1"/>
  <c r="G946" i="8" s="1"/>
  <c r="G945" i="8" s="1"/>
  <c r="H948" i="8"/>
  <c r="G953" i="8"/>
  <c r="G952" i="8" s="1"/>
  <c r="G951" i="8" s="1"/>
  <c r="G950" i="8" s="1"/>
  <c r="H953" i="8"/>
  <c r="G959" i="8"/>
  <c r="G958" i="8" s="1"/>
  <c r="G957" i="8" s="1"/>
  <c r="G956" i="8" s="1"/>
  <c r="G955" i="8" s="1"/>
  <c r="H959" i="8"/>
  <c r="G964" i="8"/>
  <c r="G963" i="8" s="1"/>
  <c r="G962" i="8" s="1"/>
  <c r="G961" i="8" s="1"/>
  <c r="H964" i="8"/>
  <c r="G969" i="8"/>
  <c r="G968" i="8" s="1"/>
  <c r="G967" i="8" s="1"/>
  <c r="G966" i="8" s="1"/>
  <c r="H969" i="8"/>
  <c r="G974" i="8"/>
  <c r="G973" i="8" s="1"/>
  <c r="G972" i="8" s="1"/>
  <c r="G971" i="8" s="1"/>
  <c r="H974" i="8"/>
  <c r="D9" i="14"/>
  <c r="D11" i="14"/>
  <c r="D14" i="14"/>
  <c r="D16" i="14"/>
  <c r="D20" i="14"/>
  <c r="D19" i="14" s="1"/>
  <c r="D18" i="14" s="1"/>
  <c r="D25" i="14"/>
  <c r="D24" i="14" s="1"/>
  <c r="D23" i="14" s="1"/>
  <c r="D22" i="14"/>
  <c r="D29" i="14"/>
  <c r="D28" i="14" s="1"/>
  <c r="D27" i="14" s="1"/>
  <c r="H525" i="8" l="1"/>
  <c r="H973" i="8"/>
  <c r="H867" i="8"/>
  <c r="H843" i="8"/>
  <c r="H744" i="8"/>
  <c r="H710" i="8"/>
  <c r="H687" i="8"/>
  <c r="H429" i="8"/>
  <c r="H941" i="8"/>
  <c r="H913" i="8"/>
  <c r="H881" i="8"/>
  <c r="H697" i="8"/>
  <c r="H606" i="8"/>
  <c r="H463" i="8"/>
  <c r="H440" i="8"/>
  <c r="H717" i="8"/>
  <c r="H963" i="8"/>
  <c r="H952" i="8"/>
  <c r="H931" i="8"/>
  <c r="H891" i="8"/>
  <c r="H857" i="8"/>
  <c r="H804" i="8"/>
  <c r="H771" i="8"/>
  <c r="H755" i="8"/>
  <c r="H724" i="8"/>
  <c r="H723" i="8" s="1"/>
  <c r="H520" i="8"/>
  <c r="H968" i="8"/>
  <c r="H958" i="8"/>
  <c r="H947" i="8"/>
  <c r="H936" i="8"/>
  <c r="H918" i="8"/>
  <c r="H886" i="8"/>
  <c r="H862" i="8"/>
  <c r="H816" i="8"/>
  <c r="H777" i="8"/>
  <c r="H760" i="8"/>
  <c r="H738" i="8"/>
  <c r="H704" i="8"/>
  <c r="H593" i="8"/>
  <c r="H477" i="8"/>
  <c r="H445" i="8"/>
  <c r="H435" i="8"/>
  <c r="H896" i="8"/>
  <c r="H829" i="8"/>
  <c r="H749" i="8"/>
  <c r="H678" i="8"/>
  <c r="H673" i="8"/>
  <c r="H668" i="8"/>
  <c r="H663" i="8"/>
  <c r="H658" i="8"/>
  <c r="H684" i="8"/>
  <c r="H692" i="8"/>
  <c r="H681" i="8"/>
  <c r="H653" i="8"/>
  <c r="H648" i="8"/>
  <c r="H643" i="8"/>
  <c r="H638" i="8"/>
  <c r="H626" i="8"/>
  <c r="H621" i="8"/>
  <c r="H616" i="8"/>
  <c r="H611" i="8"/>
  <c r="H546" i="8"/>
  <c r="H541" i="8"/>
  <c r="H551" i="8"/>
  <c r="H586" i="8"/>
  <c r="H581" i="8"/>
  <c r="H576" i="8"/>
  <c r="H571" i="8"/>
  <c r="H556" i="8"/>
  <c r="H535" i="8"/>
  <c r="H530" i="8"/>
  <c r="H506" i="8"/>
  <c r="H499" i="8"/>
  <c r="H498" i="8" s="1"/>
  <c r="H493" i="8"/>
  <c r="H487" i="8"/>
  <c r="H482" i="8"/>
  <c r="H455" i="8"/>
  <c r="H450" i="8"/>
  <c r="H417" i="8"/>
  <c r="H406" i="8"/>
  <c r="H422" i="8"/>
  <c r="H411" i="8"/>
  <c r="G393" i="8"/>
  <c r="G729" i="8"/>
  <c r="G728" i="8" s="1"/>
  <c r="G727" i="8" s="1"/>
  <c r="G721" i="8" s="1"/>
  <c r="G720" i="8" s="1"/>
  <c r="G700" i="8" s="1"/>
  <c r="H350" i="8"/>
  <c r="H374" i="8"/>
  <c r="H396" i="8"/>
  <c r="H382" i="8"/>
  <c r="H358" i="8"/>
  <c r="H401" i="8"/>
  <c r="H369" i="8"/>
  <c r="H363" i="8"/>
  <c r="G350" i="8"/>
  <c r="H345" i="8"/>
  <c r="H344" i="8" s="1"/>
  <c r="H328" i="8"/>
  <c r="H316" i="8"/>
  <c r="H304" i="8"/>
  <c r="H162" i="8"/>
  <c r="H161" i="8" s="1"/>
  <c r="H797" i="8"/>
  <c r="H764" i="8"/>
  <c r="H182" i="8"/>
  <c r="H181" i="8" s="1"/>
  <c r="H310" i="8"/>
  <c r="H275" i="8"/>
  <c r="H241" i="8"/>
  <c r="H201" i="8"/>
  <c r="H322" i="8"/>
  <c r="H287" i="8"/>
  <c r="H292" i="8"/>
  <c r="H268" i="8"/>
  <c r="H261" i="8"/>
  <c r="H256" i="8"/>
  <c r="H251" i="8"/>
  <c r="H246" i="8"/>
  <c r="H206" i="8"/>
  <c r="H187" i="8"/>
  <c r="H177" i="8"/>
  <c r="H172" i="8"/>
  <c r="H167" i="8"/>
  <c r="H235" i="8"/>
  <c r="G782" i="8"/>
  <c r="G781" i="8" s="1"/>
  <c r="G780" i="8" s="1"/>
  <c r="G774" i="8" s="1"/>
  <c r="H152" i="8"/>
  <c r="H387" i="8"/>
  <c r="H230" i="8"/>
  <c r="H213" i="8"/>
  <c r="H225" i="8"/>
  <c r="G631" i="8"/>
  <c r="G630" i="8" s="1"/>
  <c r="G629" i="8" s="1"/>
  <c r="G603" i="8" s="1"/>
  <c r="H512" i="8"/>
  <c r="H157" i="8"/>
  <c r="H64" i="8"/>
  <c r="H53" i="8"/>
  <c r="H22" i="8"/>
  <c r="H21" i="8" s="1"/>
  <c r="H11" i="8"/>
  <c r="H218" i="8"/>
  <c r="H146" i="8"/>
  <c r="G128" i="8"/>
  <c r="G127" i="8" s="1"/>
  <c r="G126" i="8" s="1"/>
  <c r="H102" i="8"/>
  <c r="H89" i="8"/>
  <c r="H83" i="8"/>
  <c r="H71" i="8"/>
  <c r="H58" i="8"/>
  <c r="H47" i="8"/>
  <c r="H42" i="8"/>
  <c r="H37" i="8"/>
  <c r="H32" i="8"/>
  <c r="H27" i="8"/>
  <c r="H16" i="8"/>
  <c r="H114" i="8"/>
  <c r="H808" i="8"/>
  <c r="H631" i="8"/>
  <c r="G598" i="8"/>
  <c r="G597" i="8" s="1"/>
  <c r="G596" i="8" s="1"/>
  <c r="G590" i="8" s="1"/>
  <c r="G589" i="8" s="1"/>
  <c r="G344" i="8"/>
  <c r="G343" i="8" s="1"/>
  <c r="G808" i="8"/>
  <c r="G807" i="8" s="1"/>
  <c r="G802" i="8" s="1"/>
  <c r="G387" i="8"/>
  <c r="G386" i="8" s="1"/>
  <c r="G385" i="8" s="1"/>
  <c r="G379" i="8" s="1"/>
  <c r="G378" i="8" s="1"/>
  <c r="G377" i="8" s="1"/>
  <c r="G114" i="8"/>
  <c r="G113" i="8" s="1"/>
  <c r="G112" i="8" s="1"/>
  <c r="K363" i="20"/>
  <c r="K361" i="20" s="1"/>
  <c r="K898" i="20"/>
  <c r="K435" i="20"/>
  <c r="K760" i="20"/>
  <c r="K734" i="20"/>
  <c r="K227" i="20"/>
  <c r="K783" i="20"/>
  <c r="K515" i="20"/>
  <c r="K201" i="20"/>
  <c r="K574" i="20"/>
  <c r="K148" i="20"/>
  <c r="K147" i="20" s="1"/>
  <c r="K881" i="20"/>
  <c r="K238" i="20"/>
  <c r="K887" i="20"/>
  <c r="K694" i="20"/>
  <c r="K753" i="20"/>
  <c r="K219" i="20"/>
  <c r="K26" i="20"/>
  <c r="K505" i="20"/>
  <c r="K207" i="20"/>
  <c r="K851" i="20"/>
  <c r="K820" i="20" s="1"/>
  <c r="K614" i="20"/>
  <c r="K244" i="20"/>
  <c r="K284" i="20"/>
  <c r="K251" i="20"/>
  <c r="K494" i="20"/>
  <c r="K9" i="20"/>
  <c r="K681" i="20"/>
  <c r="K716" i="20"/>
  <c r="K715" i="20" s="1"/>
  <c r="K768" i="20"/>
  <c r="K190" i="20"/>
  <c r="K813" i="20"/>
  <c r="K656" i="20"/>
  <c r="K313" i="20"/>
  <c r="K274" i="20"/>
  <c r="K563" i="20"/>
  <c r="K606" i="20"/>
  <c r="K33" i="20"/>
  <c r="K266" i="20"/>
  <c r="K423" i="20"/>
  <c r="K917" i="20"/>
  <c r="K905" i="20" s="1"/>
  <c r="K383" i="20"/>
  <c r="K258" i="20"/>
  <c r="K298" i="20"/>
  <c r="K104" i="20"/>
  <c r="K872" i="20"/>
  <c r="K862" i="20" s="1"/>
  <c r="J703" i="21"/>
  <c r="J609" i="21"/>
  <c r="J115" i="21"/>
  <c r="J114" i="21" s="1"/>
  <c r="J81" i="21"/>
  <c r="J586" i="21"/>
  <c r="J515" i="21"/>
  <c r="J497" i="21"/>
  <c r="J84" i="21"/>
  <c r="J30" i="21"/>
  <c r="J29" i="21" s="1"/>
  <c r="K171" i="20"/>
  <c r="I374" i="21"/>
  <c r="K160" i="21"/>
  <c r="I648" i="21"/>
  <c r="J589" i="21"/>
  <c r="I589" i="21"/>
  <c r="I547" i="21"/>
  <c r="I546" i="21" s="1"/>
  <c r="J715" i="21"/>
  <c r="J664" i="21"/>
  <c r="J652" i="21"/>
  <c r="J615" i="21"/>
  <c r="J417" i="21"/>
  <c r="J330" i="21"/>
  <c r="J310" i="21"/>
  <c r="J267" i="21"/>
  <c r="J757" i="21"/>
  <c r="J727" i="21"/>
  <c r="J698" i="21"/>
  <c r="J690" i="21"/>
  <c r="J676" i="21"/>
  <c r="J658" i="21"/>
  <c r="J636" i="21"/>
  <c r="J630" i="21"/>
  <c r="J606" i="21"/>
  <c r="I600" i="21"/>
  <c r="I596" i="21" s="1"/>
  <c r="I595" i="21" s="1"/>
  <c r="I594" i="21" s="1"/>
  <c r="J579" i="21"/>
  <c r="J548" i="21"/>
  <c r="J535" i="21"/>
  <c r="J511" i="21"/>
  <c r="J451" i="21"/>
  <c r="J439" i="21"/>
  <c r="J390" i="21"/>
  <c r="J370" i="21"/>
  <c r="J357" i="21"/>
  <c r="J326" i="21"/>
  <c r="J320" i="21"/>
  <c r="J287" i="21"/>
  <c r="J279" i="21"/>
  <c r="J272" i="21"/>
  <c r="J264" i="21"/>
  <c r="J258" i="21"/>
  <c r="J250" i="21"/>
  <c r="J203" i="21"/>
  <c r="J197" i="21"/>
  <c r="J143" i="21"/>
  <c r="J133" i="21"/>
  <c r="J120" i="21"/>
  <c r="J94" i="21"/>
  <c r="J18" i="21"/>
  <c r="J706" i="21"/>
  <c r="J695" i="21"/>
  <c r="J561" i="21"/>
  <c r="J423" i="21"/>
  <c r="J396" i="21"/>
  <c r="J378" i="21"/>
  <c r="J297" i="21"/>
  <c r="J284" i="21"/>
  <c r="J100" i="21"/>
  <c r="J52" i="21"/>
  <c r="J35" i="21"/>
  <c r="J153" i="21"/>
  <c r="K154" i="21"/>
  <c r="J763" i="21"/>
  <c r="J734" i="21"/>
  <c r="J722" i="21"/>
  <c r="J709" i="21"/>
  <c r="J673" i="21"/>
  <c r="J641" i="21"/>
  <c r="J623" i="21"/>
  <c r="J573" i="21"/>
  <c r="J556" i="21"/>
  <c r="J493" i="21"/>
  <c r="J426" i="21"/>
  <c r="J420" i="21"/>
  <c r="J413" i="21"/>
  <c r="J407" i="21"/>
  <c r="J393" i="21"/>
  <c r="J387" i="21"/>
  <c r="J381" i="21"/>
  <c r="J333" i="21"/>
  <c r="J313" i="21"/>
  <c r="I275" i="21"/>
  <c r="J218" i="21"/>
  <c r="J149" i="21"/>
  <c r="J110" i="21"/>
  <c r="J103" i="21"/>
  <c r="J97" i="21"/>
  <c r="J88" i="21"/>
  <c r="J12" i="21"/>
  <c r="J655" i="21"/>
  <c r="J644" i="21"/>
  <c r="J626" i="21"/>
  <c r="J569" i="21"/>
  <c r="J551" i="21"/>
  <c r="J463" i="21"/>
  <c r="J444" i="21"/>
  <c r="J410" i="21"/>
  <c r="J402" i="21"/>
  <c r="J384" i="21"/>
  <c r="J323" i="21"/>
  <c r="J303" i="21"/>
  <c r="J107" i="21"/>
  <c r="J685" i="21"/>
  <c r="J649" i="21"/>
  <c r="J633" i="21"/>
  <c r="J612" i="21"/>
  <c r="J597" i="21"/>
  <c r="J542" i="21"/>
  <c r="J528" i="21"/>
  <c r="J523" i="21"/>
  <c r="J481" i="21"/>
  <c r="J432" i="21"/>
  <c r="J399" i="21"/>
  <c r="J375" i="21"/>
  <c r="J366" i="21"/>
  <c r="J342" i="21"/>
  <c r="J317" i="21"/>
  <c r="J307" i="21"/>
  <c r="J300" i="21"/>
  <c r="J290" i="21"/>
  <c r="J276" i="21"/>
  <c r="J261" i="21"/>
  <c r="J255" i="21"/>
  <c r="J194" i="21"/>
  <c r="J166" i="21"/>
  <c r="J146" i="21"/>
  <c r="J91" i="21"/>
  <c r="J75" i="21"/>
  <c r="J375" i="20"/>
  <c r="J411" i="20"/>
  <c r="J822" i="20"/>
  <c r="J771" i="20"/>
  <c r="J724" i="20"/>
  <c r="J644" i="20"/>
  <c r="J597" i="20"/>
  <c r="J566" i="20"/>
  <c r="J483" i="20"/>
  <c r="J854" i="20"/>
  <c r="J793" i="20"/>
  <c r="J745" i="20"/>
  <c r="J640" i="20"/>
  <c r="J627" i="20"/>
  <c r="J591" i="20"/>
  <c r="J577" i="20"/>
  <c r="J547" i="20"/>
  <c r="J527" i="20"/>
  <c r="J468" i="20"/>
  <c r="J456" i="20"/>
  <c r="J426" i="20"/>
  <c r="J405" i="20"/>
  <c r="J325" i="20"/>
  <c r="J301" i="20"/>
  <c r="J144" i="20"/>
  <c r="J130" i="20"/>
  <c r="J84" i="20"/>
  <c r="J59" i="20"/>
  <c r="J21" i="20"/>
  <c r="J909" i="20"/>
  <c r="J890" i="20"/>
  <c r="J866" i="20"/>
  <c r="J809" i="20"/>
  <c r="J779" i="20"/>
  <c r="J756" i="20"/>
  <c r="J737" i="20"/>
  <c r="J698" i="20"/>
  <c r="J678" i="20"/>
  <c r="J665" i="20"/>
  <c r="J650" i="20"/>
  <c r="J637" i="20"/>
  <c r="J624" i="20"/>
  <c r="J588" i="20"/>
  <c r="J556" i="20"/>
  <c r="J544" i="20"/>
  <c r="J521" i="20"/>
  <c r="J490" i="20"/>
  <c r="J477" i="20"/>
  <c r="J465" i="20"/>
  <c r="J453" i="20"/>
  <c r="J420" i="20"/>
  <c r="J399" i="20"/>
  <c r="J386" i="20"/>
  <c r="J372" i="20"/>
  <c r="J310" i="20"/>
  <c r="J276" i="20"/>
  <c r="J247" i="20"/>
  <c r="J230" i="20"/>
  <c r="J204" i="20"/>
  <c r="J185" i="20"/>
  <c r="J141" i="20"/>
  <c r="J127" i="20"/>
  <c r="J94" i="20"/>
  <c r="J81" i="20"/>
  <c r="J56" i="20"/>
  <c r="J43" i="20"/>
  <c r="J18" i="20"/>
  <c r="J875" i="20"/>
  <c r="J797" i="20"/>
  <c r="J748" i="20"/>
  <c r="J687" i="20"/>
  <c r="J630" i="20"/>
  <c r="J582" i="20"/>
  <c r="J550" i="20"/>
  <c r="J530" i="20"/>
  <c r="J511" i="20"/>
  <c r="J497" i="20"/>
  <c r="J869" i="20"/>
  <c r="J816" i="20"/>
  <c r="J763" i="20"/>
  <c r="J684" i="20"/>
  <c r="J653" i="20"/>
  <c r="J609" i="20"/>
  <c r="J559" i="20"/>
  <c r="J536" i="20"/>
  <c r="J508" i="20"/>
  <c r="J480" i="20"/>
  <c r="J414" i="20"/>
  <c r="J389" i="20"/>
  <c r="J385" i="20" s="1"/>
  <c r="J316" i="20"/>
  <c r="J281" i="20"/>
  <c r="J254" i="20"/>
  <c r="J210" i="20"/>
  <c r="J193" i="20"/>
  <c r="J160" i="20"/>
  <c r="J99" i="20"/>
  <c r="J72" i="20"/>
  <c r="J29" i="20"/>
  <c r="J920" i="20"/>
  <c r="J901" i="20"/>
  <c r="J884" i="20"/>
  <c r="J826" i="20"/>
  <c r="J802" i="20"/>
  <c r="J775" i="20"/>
  <c r="J731" i="20"/>
  <c r="J690" i="20"/>
  <c r="J674" i="20"/>
  <c r="J647" i="20"/>
  <c r="J634" i="20"/>
  <c r="J617" i="20"/>
  <c r="J585" i="20"/>
  <c r="J553" i="20"/>
  <c r="J539" i="20"/>
  <c r="J533" i="20"/>
  <c r="J518" i="20"/>
  <c r="J487" i="20"/>
  <c r="J474" i="20"/>
  <c r="J462" i="20"/>
  <c r="J448" i="20"/>
  <c r="J417" i="20"/>
  <c r="J396" i="20"/>
  <c r="J378" i="20"/>
  <c r="J366" i="20"/>
  <c r="J269" i="20"/>
  <c r="J241" i="20"/>
  <c r="J222" i="20"/>
  <c r="J167" i="20"/>
  <c r="J136" i="20"/>
  <c r="J124" i="20"/>
  <c r="J91" i="20"/>
  <c r="J78" i="20"/>
  <c r="J53" i="20"/>
  <c r="J471" i="20"/>
  <c r="J459" i="20"/>
  <c r="J408" i="20"/>
  <c r="J393" i="20"/>
  <c r="J357" i="20"/>
  <c r="J288" i="20"/>
  <c r="J261" i="20"/>
  <c r="J215" i="20"/>
  <c r="J163" i="20"/>
  <c r="J151" i="20"/>
  <c r="J133" i="20"/>
  <c r="J119" i="20"/>
  <c r="J106" i="20"/>
  <c r="J87" i="20"/>
  <c r="J75" i="20"/>
  <c r="J65" i="20"/>
  <c r="J64" i="20" s="1"/>
  <c r="J12" i="20"/>
  <c r="K594" i="20"/>
  <c r="K741" i="20"/>
  <c r="J519" i="21"/>
  <c r="J505" i="21"/>
  <c r="J501" i="21"/>
  <c r="J436" i="21"/>
  <c r="J429" i="21"/>
  <c r="I361" i="21"/>
  <c r="I360" i="21" s="1"/>
  <c r="J347" i="21"/>
  <c r="J339" i="21"/>
  <c r="J336" i="21"/>
  <c r="I236" i="21"/>
  <c r="J231" i="21"/>
  <c r="I226" i="21"/>
  <c r="I213" i="21"/>
  <c r="J209" i="21"/>
  <c r="J179" i="21"/>
  <c r="J159" i="21"/>
  <c r="I67" i="21"/>
  <c r="J46" i="21"/>
  <c r="I38" i="21"/>
  <c r="I34" i="21" s="1"/>
  <c r="I33" i="21" s="1"/>
  <c r="I26" i="21" s="1"/>
  <c r="J857" i="20"/>
  <c r="J350" i="20"/>
  <c r="J338" i="20"/>
  <c r="J233" i="20"/>
  <c r="J291" i="20"/>
  <c r="J304" i="20"/>
  <c r="J300" i="20" s="1"/>
  <c r="J320" i="20"/>
  <c r="J328" i="20"/>
  <c r="J343" i="20"/>
  <c r="J500" i="20"/>
  <c r="J569" i="20"/>
  <c r="J600" i="20"/>
  <c r="J701" i="20"/>
  <c r="J839" i="20"/>
  <c r="J844" i="20"/>
  <c r="J893" i="20"/>
  <c r="J912" i="20"/>
  <c r="J832" i="20"/>
  <c r="J790" i="20"/>
  <c r="J786" i="20"/>
  <c r="J719" i="20"/>
  <c r="J707" i="20"/>
  <c r="J660" i="20"/>
  <c r="J669" i="20"/>
  <c r="J438" i="20"/>
  <c r="J429" i="20"/>
  <c r="J333" i="20"/>
  <c r="J196" i="20"/>
  <c r="J36" i="20"/>
  <c r="J110" i="20"/>
  <c r="J46" i="20"/>
  <c r="J174" i="20"/>
  <c r="J21" i="21"/>
  <c r="I55" i="21"/>
  <c r="I51" i="21" s="1"/>
  <c r="I50" i="21" s="1"/>
  <c r="J55" i="21"/>
  <c r="I170" i="21"/>
  <c r="I169" i="21" s="1"/>
  <c r="I165" i="21" s="1"/>
  <c r="I164" i="21" s="1"/>
  <c r="I163" i="21" s="1"/>
  <c r="I162" i="21" s="1"/>
  <c r="J170" i="21"/>
  <c r="I184" i="21"/>
  <c r="I183" i="21" s="1"/>
  <c r="I182" i="21" s="1"/>
  <c r="I197" i="21"/>
  <c r="I193" i="21" s="1"/>
  <c r="I192" i="21" s="1"/>
  <c r="I191" i="21" s="1"/>
  <c r="J213" i="21"/>
  <c r="I221" i="21"/>
  <c r="J226" i="21"/>
  <c r="I231" i="21"/>
  <c r="J236" i="21"/>
  <c r="I306" i="21"/>
  <c r="I316" i="21"/>
  <c r="I329" i="21"/>
  <c r="J352" i="21"/>
  <c r="I416" i="21"/>
  <c r="I435" i="21"/>
  <c r="I454" i="21"/>
  <c r="I450" i="21" s="1"/>
  <c r="I449" i="21" s="1"/>
  <c r="I448" i="21" s="1"/>
  <c r="J466" i="21"/>
  <c r="I484" i="21"/>
  <c r="I480" i="21" s="1"/>
  <c r="I479" i="21" s="1"/>
  <c r="I510" i="21"/>
  <c r="I509" i="21" s="1"/>
  <c r="I508" i="21" s="1"/>
  <c r="I532" i="21"/>
  <c r="I561" i="21"/>
  <c r="I560" i="21" s="1"/>
  <c r="I559" i="21" s="1"/>
  <c r="I579" i="21"/>
  <c r="I578" i="21" s="1"/>
  <c r="J600" i="21"/>
  <c r="I605" i="21"/>
  <c r="I622" i="21"/>
  <c r="I621" i="21" s="1"/>
  <c r="I620" i="21" s="1"/>
  <c r="I619" i="21" s="1"/>
  <c r="I667" i="21"/>
  <c r="I663" i="21" s="1"/>
  <c r="I662" i="21" s="1"/>
  <c r="I661" i="21" s="1"/>
  <c r="J667" i="21"/>
  <c r="I676" i="21"/>
  <c r="I672" i="21" s="1"/>
  <c r="I720" i="21"/>
  <c r="I719" i="21" s="1"/>
  <c r="I737" i="21"/>
  <c r="I732" i="21" s="1"/>
  <c r="I731" i="21" s="1"/>
  <c r="I730" i="21" s="1"/>
  <c r="J737" i="21"/>
  <c r="I694" i="21"/>
  <c r="I693" i="21" s="1"/>
  <c r="I702" i="21"/>
  <c r="I701" i="21" s="1"/>
  <c r="I746" i="21"/>
  <c r="I745" i="21" s="1"/>
  <c r="I744" i="21" s="1"/>
  <c r="I743" i="21" s="1"/>
  <c r="I742" i="21" s="1"/>
  <c r="J746" i="21"/>
  <c r="I243" i="21"/>
  <c r="I242" i="21" s="1"/>
  <c r="I241" i="21" s="1"/>
  <c r="I568" i="21"/>
  <c r="I466" i="21"/>
  <c r="I462" i="21" s="1"/>
  <c r="I461" i="21" s="1"/>
  <c r="I460" i="21" s="1"/>
  <c r="J454" i="21"/>
  <c r="J361" i="21"/>
  <c r="I352" i="21"/>
  <c r="I351" i="21" s="1"/>
  <c r="I472" i="21"/>
  <c r="I471" i="21" s="1"/>
  <c r="I640" i="21"/>
  <c r="I492" i="21"/>
  <c r="I491" i="21" s="1"/>
  <c r="I490" i="21" s="1"/>
  <c r="J484" i="21"/>
  <c r="J472" i="21"/>
  <c r="I406" i="21"/>
  <c r="I405" i="21" s="1"/>
  <c r="I296" i="21"/>
  <c r="I254" i="21"/>
  <c r="J243" i="21"/>
  <c r="I283" i="21"/>
  <c r="I282" i="21" s="1"/>
  <c r="I126" i="21"/>
  <c r="I87" i="21"/>
  <c r="J221" i="21"/>
  <c r="I136" i="21"/>
  <c r="I106" i="21"/>
  <c r="J184" i="21"/>
  <c r="I80" i="21"/>
  <c r="J67" i="21"/>
  <c r="I62" i="21"/>
  <c r="J62" i="21"/>
  <c r="J136" i="21"/>
  <c r="J126" i="21"/>
  <c r="J38" i="21"/>
  <c r="I21" i="21"/>
  <c r="I15" i="21" s="1"/>
  <c r="G944" i="8"/>
  <c r="G923" i="8"/>
  <c r="G922" i="8" s="1"/>
  <c r="G921" i="8" s="1"/>
  <c r="H923" i="8"/>
  <c r="G902" i="8"/>
  <c r="G901" i="8" s="1"/>
  <c r="G900" i="8" s="1"/>
  <c r="G872" i="8"/>
  <c r="G871" i="8" s="1"/>
  <c r="G870" i="8" s="1"/>
  <c r="H872" i="8"/>
  <c r="G848" i="8"/>
  <c r="G847" i="8" s="1"/>
  <c r="G846" i="8" s="1"/>
  <c r="G834" i="8"/>
  <c r="G833" i="8" s="1"/>
  <c r="G832" i="8" s="1"/>
  <c r="H821" i="8"/>
  <c r="G821" i="8"/>
  <c r="G820" i="8" s="1"/>
  <c r="G819" i="8" s="1"/>
  <c r="G813" i="8" s="1"/>
  <c r="G797" i="8"/>
  <c r="G796" i="8" s="1"/>
  <c r="G795" i="8" s="1"/>
  <c r="G790" i="8"/>
  <c r="G789" i="8" s="1"/>
  <c r="G788" i="8" s="1"/>
  <c r="H782" i="8"/>
  <c r="G741" i="8"/>
  <c r="H729" i="8"/>
  <c r="H598" i="8"/>
  <c r="G562" i="8"/>
  <c r="G561" i="8" s="1"/>
  <c r="G560" i="8" s="1"/>
  <c r="G559" i="8" s="1"/>
  <c r="G512" i="8"/>
  <c r="G511" i="8" s="1"/>
  <c r="G510" i="8" s="1"/>
  <c r="G509" i="8" s="1"/>
  <c r="G474" i="8"/>
  <c r="H468" i="8"/>
  <c r="G468" i="8"/>
  <c r="G467" i="8" s="1"/>
  <c r="G466" i="8" s="1"/>
  <c r="G460" i="8" s="1"/>
  <c r="G459" i="8" s="1"/>
  <c r="G458" i="8" s="1"/>
  <c r="G355" i="8"/>
  <c r="G218" i="8"/>
  <c r="G217" i="8" s="1"/>
  <c r="G216" i="8" s="1"/>
  <c r="G210" i="8" s="1"/>
  <c r="G209" i="8" s="1"/>
  <c r="H192" i="8"/>
  <c r="G192" i="8"/>
  <c r="G191" i="8" s="1"/>
  <c r="G190" i="8" s="1"/>
  <c r="H137" i="8"/>
  <c r="H128" i="8"/>
  <c r="H121" i="8"/>
  <c r="G121" i="8"/>
  <c r="G120" i="8" s="1"/>
  <c r="G119" i="8" s="1"/>
  <c r="G107" i="8"/>
  <c r="G106" i="8" s="1"/>
  <c r="G105" i="8" s="1"/>
  <c r="G95" i="8"/>
  <c r="G94" i="8" s="1"/>
  <c r="G93" i="8" s="1"/>
  <c r="G76" i="8"/>
  <c r="G75" i="8" s="1"/>
  <c r="G74" i="8" s="1"/>
  <c r="G68" i="8" s="1"/>
  <c r="G8" i="8"/>
  <c r="H834" i="8"/>
  <c r="H790" i="8"/>
  <c r="G764" i="8"/>
  <c r="G763" i="8" s="1"/>
  <c r="G758" i="8" s="1"/>
  <c r="H902" i="8"/>
  <c r="H848" i="8"/>
  <c r="G517" i="8"/>
  <c r="G425" i="8"/>
  <c r="G499" i="8"/>
  <c r="G498" i="8" s="1"/>
  <c r="G497" i="8" s="1"/>
  <c r="G496" i="8" s="1"/>
  <c r="H562" i="8"/>
  <c r="G349" i="8"/>
  <c r="G348" i="8" s="1"/>
  <c r="G336" i="8"/>
  <c r="G335" i="8" s="1"/>
  <c r="G334" i="8" s="1"/>
  <c r="G333" i="8" s="1"/>
  <c r="H336" i="8"/>
  <c r="G137" i="8"/>
  <c r="G136" i="8" s="1"/>
  <c r="G135" i="8" s="1"/>
  <c r="G134" i="8" s="1"/>
  <c r="G133" i="8" s="1"/>
  <c r="G272" i="8"/>
  <c r="H107" i="8"/>
  <c r="G238" i="8"/>
  <c r="G19" i="8"/>
  <c r="H95" i="8"/>
  <c r="H76" i="8"/>
  <c r="G50" i="8"/>
  <c r="D13" i="14"/>
  <c r="D8" i="14"/>
  <c r="H776" i="8" l="1"/>
  <c r="H434" i="8"/>
  <c r="H861" i="8"/>
  <c r="H967" i="8"/>
  <c r="H754" i="8"/>
  <c r="H716" i="8"/>
  <c r="H880" i="8"/>
  <c r="H428" i="8"/>
  <c r="H476" i="8"/>
  <c r="H592" i="8"/>
  <c r="H703" i="8"/>
  <c r="H759" i="8"/>
  <c r="H803" i="8"/>
  <c r="H743" i="8"/>
  <c r="H866" i="8"/>
  <c r="H524" i="8"/>
  <c r="H922" i="8"/>
  <c r="H444" i="8"/>
  <c r="H815" i="8"/>
  <c r="H935" i="8"/>
  <c r="H957" i="8"/>
  <c r="H770" i="8"/>
  <c r="H930" i="8"/>
  <c r="H962" i="8"/>
  <c r="H462" i="8"/>
  <c r="H605" i="8"/>
  <c r="H940" i="8"/>
  <c r="H842" i="8"/>
  <c r="H885" i="8"/>
  <c r="H946" i="8"/>
  <c r="H856" i="8"/>
  <c r="H951" i="8"/>
  <c r="H439" i="8"/>
  <c r="H696" i="8"/>
  <c r="H901" i="8"/>
  <c r="H871" i="8"/>
  <c r="H737" i="8"/>
  <c r="H917" i="8"/>
  <c r="H519" i="8"/>
  <c r="H890" i="8"/>
  <c r="H912" i="8"/>
  <c r="H709" i="8"/>
  <c r="H972" i="8"/>
  <c r="H820" i="8"/>
  <c r="H796" i="8"/>
  <c r="H807" i="8"/>
  <c r="H895" i="8"/>
  <c r="H789" i="8"/>
  <c r="H847" i="8"/>
  <c r="J744" i="20"/>
  <c r="J743" i="20" s="1"/>
  <c r="J623" i="20"/>
  <c r="J770" i="20"/>
  <c r="J769" i="20" s="1"/>
  <c r="H833" i="8"/>
  <c r="H828" i="8"/>
  <c r="H781" i="8"/>
  <c r="H763" i="8"/>
  <c r="H748" i="8"/>
  <c r="H728" i="8"/>
  <c r="H722" i="8"/>
  <c r="H677" i="8"/>
  <c r="H672" i="8"/>
  <c r="H667" i="8"/>
  <c r="H662" i="8"/>
  <c r="H657" i="8"/>
  <c r="H691" i="8"/>
  <c r="H652" i="8"/>
  <c r="H647" i="8"/>
  <c r="H642" i="8"/>
  <c r="H637" i="8"/>
  <c r="H630" i="8"/>
  <c r="H625" i="8"/>
  <c r="H620" i="8"/>
  <c r="H615" i="8"/>
  <c r="H610" i="8"/>
  <c r="H545" i="8"/>
  <c r="H540" i="8"/>
  <c r="H550" i="8"/>
  <c r="H585" i="8"/>
  <c r="H580" i="8"/>
  <c r="H575" i="8"/>
  <c r="H570" i="8"/>
  <c r="H561" i="8"/>
  <c r="H555" i="8"/>
  <c r="H597" i="8"/>
  <c r="H534" i="8"/>
  <c r="H529" i="8"/>
  <c r="H511" i="8"/>
  <c r="H505" i="8"/>
  <c r="H497" i="8"/>
  <c r="H492" i="8"/>
  <c r="H486" i="8"/>
  <c r="H481" i="8"/>
  <c r="H467" i="8"/>
  <c r="H454" i="8"/>
  <c r="H449" i="8"/>
  <c r="H421" i="8"/>
  <c r="H416" i="8"/>
  <c r="H405" i="8"/>
  <c r="H410" i="8"/>
  <c r="H386" i="8"/>
  <c r="H373" i="8"/>
  <c r="H381" i="8"/>
  <c r="H395" i="8"/>
  <c r="H357" i="8"/>
  <c r="H400" i="8"/>
  <c r="H368" i="8"/>
  <c r="H362" i="8"/>
  <c r="H349" i="8"/>
  <c r="H343" i="8"/>
  <c r="H315" i="8"/>
  <c r="G538" i="8"/>
  <c r="G473" i="8" s="1"/>
  <c r="H200" i="8"/>
  <c r="H274" i="8"/>
  <c r="H309" i="8"/>
  <c r="G149" i="8"/>
  <c r="H240" i="8"/>
  <c r="H303" i="8"/>
  <c r="H327" i="8"/>
  <c r="H335" i="8"/>
  <c r="H321" i="8"/>
  <c r="H286" i="8"/>
  <c r="H291" i="8"/>
  <c r="H267" i="8"/>
  <c r="H260" i="8"/>
  <c r="H255" i="8"/>
  <c r="H250" i="8"/>
  <c r="H245" i="8"/>
  <c r="H205" i="8"/>
  <c r="H191" i="8"/>
  <c r="H186" i="8"/>
  <c r="H180" i="8"/>
  <c r="H176" i="8"/>
  <c r="H171" i="8"/>
  <c r="H166" i="8"/>
  <c r="H63" i="8"/>
  <c r="G826" i="8"/>
  <c r="H156" i="8"/>
  <c r="H224" i="8"/>
  <c r="H70" i="8"/>
  <c r="H160" i="8"/>
  <c r="H10" i="8"/>
  <c r="H52" i="8"/>
  <c r="H229" i="8"/>
  <c r="H151" i="8"/>
  <c r="G787" i="8"/>
  <c r="H212" i="8"/>
  <c r="H234" i="8"/>
  <c r="H217" i="8"/>
  <c r="H145" i="8"/>
  <c r="H136" i="8"/>
  <c r="H120" i="8"/>
  <c r="G92" i="8"/>
  <c r="G67" i="8" s="1"/>
  <c r="H127" i="8"/>
  <c r="H113" i="8"/>
  <c r="H106" i="8"/>
  <c r="H101" i="8"/>
  <c r="H94" i="8"/>
  <c r="H88" i="8"/>
  <c r="H82" i="8"/>
  <c r="H75" i="8"/>
  <c r="H57" i="8"/>
  <c r="H46" i="8"/>
  <c r="H41" i="8"/>
  <c r="H36" i="8"/>
  <c r="H31" i="8"/>
  <c r="H26" i="8"/>
  <c r="H20" i="8"/>
  <c r="H15" i="8"/>
  <c r="J80" i="21"/>
  <c r="J853" i="20"/>
  <c r="J852" i="20" s="1"/>
  <c r="K297" i="20"/>
  <c r="K382" i="20"/>
  <c r="K403" i="20"/>
  <c r="K782" i="20"/>
  <c r="K362" i="20"/>
  <c r="K257" i="20"/>
  <c r="K265" i="20"/>
  <c r="K32" i="20"/>
  <c r="K273" i="20"/>
  <c r="K693" i="20"/>
  <c r="K226" i="20"/>
  <c r="K189" i="20"/>
  <c r="K250" i="20"/>
  <c r="K218" i="20"/>
  <c r="K759" i="20"/>
  <c r="K740" i="20" s="1"/>
  <c r="K103" i="20"/>
  <c r="K819" i="20"/>
  <c r="K562" i="20"/>
  <c r="K493" i="20"/>
  <c r="K613" i="20"/>
  <c r="K880" i="20"/>
  <c r="K879" i="20" s="1"/>
  <c r="K153" i="21"/>
  <c r="J672" i="21"/>
  <c r="K714" i="20"/>
  <c r="K170" i="20"/>
  <c r="J51" i="21"/>
  <c r="J435" i="21"/>
  <c r="J374" i="21"/>
  <c r="J605" i="21"/>
  <c r="J821" i="20"/>
  <c r="J596" i="20"/>
  <c r="J595" i="20" s="1"/>
  <c r="J507" i="20"/>
  <c r="J506" i="20" s="1"/>
  <c r="J643" i="20"/>
  <c r="J865" i="20"/>
  <c r="J864" i="20" s="1"/>
  <c r="J648" i="21"/>
  <c r="J193" i="21"/>
  <c r="J640" i="21"/>
  <c r="J254" i="21"/>
  <c r="J510" i="21"/>
  <c r="J568" i="21"/>
  <c r="J296" i="21"/>
  <c r="J106" i="21"/>
  <c r="J702" i="21"/>
  <c r="J694" i="21"/>
  <c r="J547" i="21"/>
  <c r="J283" i="21"/>
  <c r="J306" i="21"/>
  <c r="J316" i="21"/>
  <c r="J87" i="21"/>
  <c r="J406" i="21"/>
  <c r="J416" i="21"/>
  <c r="J329" i="21"/>
  <c r="J351" i="21"/>
  <c r="I718" i="21"/>
  <c r="J622" i="21"/>
  <c r="I350" i="21"/>
  <c r="I345" i="21" s="1"/>
  <c r="I61" i="21"/>
  <c r="I60" i="21" s="1"/>
  <c r="I49" i="21" s="1"/>
  <c r="I577" i="21"/>
  <c r="I567" i="21" s="1"/>
  <c r="I566" i="21" s="1"/>
  <c r="J360" i="21"/>
  <c r="J119" i="21"/>
  <c r="J534" i="21"/>
  <c r="J50" i="21"/>
  <c r="J242" i="21"/>
  <c r="J480" i="21"/>
  <c r="I647" i="21"/>
  <c r="I639" i="21" s="1"/>
  <c r="I618" i="21" s="1"/>
  <c r="J450" i="21"/>
  <c r="J596" i="21"/>
  <c r="J560" i="21"/>
  <c r="J202" i="21"/>
  <c r="J471" i="21"/>
  <c r="J663" i="21"/>
  <c r="J492" i="21"/>
  <c r="J555" i="21"/>
  <c r="J578" i="21"/>
  <c r="J714" i="21"/>
  <c r="J34" i="21"/>
  <c r="J183" i="21"/>
  <c r="J275" i="21"/>
  <c r="J721" i="21"/>
  <c r="I688" i="21"/>
  <c r="I681" i="21" s="1"/>
  <c r="I545" i="21"/>
  <c r="J462" i="21"/>
  <c r="J527" i="21"/>
  <c r="J684" i="21"/>
  <c r="J17" i="21"/>
  <c r="I212" i="21"/>
  <c r="I207" i="21" s="1"/>
  <c r="I206" i="21" s="1"/>
  <c r="J74" i="21"/>
  <c r="J11" i="21"/>
  <c r="J733" i="21"/>
  <c r="J762" i="21"/>
  <c r="J369" i="21"/>
  <c r="J629" i="21"/>
  <c r="J745" i="21"/>
  <c r="J169" i="21"/>
  <c r="J541" i="21"/>
  <c r="J443" i="21"/>
  <c r="J28" i="21"/>
  <c r="J271" i="21"/>
  <c r="J689" i="21"/>
  <c r="J726" i="21"/>
  <c r="J756" i="21"/>
  <c r="J113" i="21"/>
  <c r="J526" i="20"/>
  <c r="J525" i="20" s="1"/>
  <c r="J517" i="20"/>
  <c r="J516" i="20" s="1"/>
  <c r="J543" i="20"/>
  <c r="J542" i="20" s="1"/>
  <c r="J908" i="20"/>
  <c r="J907" i="20" s="1"/>
  <c r="J683" i="20"/>
  <c r="J682" i="20" s="1"/>
  <c r="J371" i="20"/>
  <c r="J370" i="20" s="1"/>
  <c r="J633" i="20"/>
  <c r="J581" i="20"/>
  <c r="J580" i="20" s="1"/>
  <c r="J229" i="20"/>
  <c r="J228" i="20" s="1"/>
  <c r="J11" i="20"/>
  <c r="J203" i="20"/>
  <c r="J173" i="20"/>
  <c r="J156" i="20"/>
  <c r="J404" i="20"/>
  <c r="J668" i="20"/>
  <c r="J718" i="20"/>
  <c r="J831" i="20"/>
  <c r="J830" i="20" s="1"/>
  <c r="J496" i="20"/>
  <c r="J17" i="20"/>
  <c r="J166" i="20"/>
  <c r="J240" i="20"/>
  <c r="J365" i="20"/>
  <c r="J447" i="20"/>
  <c r="J730" i="20"/>
  <c r="J801" i="20"/>
  <c r="J883" i="20"/>
  <c r="J919" i="20"/>
  <c r="J209" i="20"/>
  <c r="J280" i="20"/>
  <c r="J608" i="20"/>
  <c r="J815" i="20"/>
  <c r="J677" i="20"/>
  <c r="J736" i="20"/>
  <c r="J576" i="20"/>
  <c r="J260" i="20"/>
  <c r="J309" i="20"/>
  <c r="J452" i="20"/>
  <c r="J425" i="20"/>
  <c r="J785" i="20"/>
  <c r="J889" i="20"/>
  <c r="J123" i="20"/>
  <c r="J118" i="20"/>
  <c r="J150" i="20"/>
  <c r="J214" i="20"/>
  <c r="J287" i="20"/>
  <c r="J392" i="20"/>
  <c r="J384" i="20" s="1"/>
  <c r="K904" i="20"/>
  <c r="J184" i="20"/>
  <c r="J275" i="20"/>
  <c r="J109" i="20"/>
  <c r="J192" i="20"/>
  <c r="J706" i="20"/>
  <c r="J349" i="20"/>
  <c r="J246" i="20"/>
  <c r="J71" i="20"/>
  <c r="J140" i="20"/>
  <c r="J437" i="20"/>
  <c r="J659" i="20"/>
  <c r="J789" i="20"/>
  <c r="J697" i="20"/>
  <c r="J565" i="20"/>
  <c r="J90" i="20"/>
  <c r="J221" i="20"/>
  <c r="J268" i="20"/>
  <c r="J616" i="20"/>
  <c r="J900" i="20"/>
  <c r="J28" i="20"/>
  <c r="J98" i="20"/>
  <c r="J253" i="20"/>
  <c r="J315" i="20"/>
  <c r="J762" i="20"/>
  <c r="J874" i="20"/>
  <c r="J486" i="20"/>
  <c r="J755" i="20"/>
  <c r="J808" i="20"/>
  <c r="J504" i="21"/>
  <c r="J346" i="21"/>
  <c r="I295" i="21"/>
  <c r="I294" i="21" s="1"/>
  <c r="J212" i="21"/>
  <c r="J208" i="21"/>
  <c r="J178" i="21"/>
  <c r="J158" i="21"/>
  <c r="K159" i="21"/>
  <c r="J45" i="21"/>
  <c r="J319" i="20"/>
  <c r="J35" i="20"/>
  <c r="J61" i="21"/>
  <c r="I79" i="21"/>
  <c r="I125" i="21"/>
  <c r="I124" i="21" s="1"/>
  <c r="I123" i="21" s="1"/>
  <c r="I253" i="21"/>
  <c r="I373" i="21"/>
  <c r="I459" i="21"/>
  <c r="I447" i="21" s="1"/>
  <c r="J125" i="21"/>
  <c r="G332" i="8"/>
  <c r="G271" i="8" s="1"/>
  <c r="G7" i="8"/>
  <c r="G392" i="8"/>
  <c r="D7" i="14"/>
  <c r="H966" i="8" l="1"/>
  <c r="H708" i="8"/>
  <c r="H889" i="8"/>
  <c r="H916" i="8"/>
  <c r="H870" i="8"/>
  <c r="H695" i="8"/>
  <c r="H950" i="8"/>
  <c r="H945" i="8"/>
  <c r="H841" i="8"/>
  <c r="H604" i="8"/>
  <c r="H961" i="8"/>
  <c r="H769" i="8"/>
  <c r="H934" i="8"/>
  <c r="H443" i="8"/>
  <c r="H921" i="8"/>
  <c r="H865" i="8"/>
  <c r="H433" i="8"/>
  <c r="H702" i="8"/>
  <c r="H475" i="8"/>
  <c r="H879" i="8"/>
  <c r="H753" i="8"/>
  <c r="H860" i="8"/>
  <c r="H591" i="8"/>
  <c r="H427" i="8"/>
  <c r="H426" i="8" s="1"/>
  <c r="H715" i="8"/>
  <c r="H971" i="8"/>
  <c r="H911" i="8"/>
  <c r="H518" i="8"/>
  <c r="H736" i="8"/>
  <c r="H900" i="8"/>
  <c r="H438" i="8"/>
  <c r="H855" i="8"/>
  <c r="H884" i="8"/>
  <c r="H939" i="8"/>
  <c r="H461" i="8"/>
  <c r="H929" i="8"/>
  <c r="H956" i="8"/>
  <c r="H814" i="8"/>
  <c r="H523" i="8"/>
  <c r="H742" i="8"/>
  <c r="H775" i="8"/>
  <c r="H819" i="8"/>
  <c r="H795" i="8"/>
  <c r="H802" i="8"/>
  <c r="H894" i="8"/>
  <c r="H788" i="8"/>
  <c r="H846" i="8"/>
  <c r="H832" i="8"/>
  <c r="H827" i="8"/>
  <c r="H780" i="8"/>
  <c r="H758" i="8"/>
  <c r="H747" i="8"/>
  <c r="H727" i="8"/>
  <c r="H721" i="8" s="1"/>
  <c r="H676" i="8"/>
  <c r="H671" i="8"/>
  <c r="H666" i="8"/>
  <c r="H661" i="8"/>
  <c r="H656" i="8"/>
  <c r="H690" i="8"/>
  <c r="H651" i="8"/>
  <c r="H646" i="8"/>
  <c r="H641" i="8"/>
  <c r="H636" i="8"/>
  <c r="H629" i="8"/>
  <c r="H624" i="8"/>
  <c r="H619" i="8"/>
  <c r="H614" i="8"/>
  <c r="H609" i="8"/>
  <c r="H544" i="8"/>
  <c r="H539" i="8"/>
  <c r="H549" i="8"/>
  <c r="H584" i="8"/>
  <c r="H579" i="8"/>
  <c r="H574" i="8"/>
  <c r="H569" i="8"/>
  <c r="H560" i="8"/>
  <c r="H554" i="8"/>
  <c r="H596" i="8"/>
  <c r="H533" i="8"/>
  <c r="H528" i="8"/>
  <c r="H510" i="8"/>
  <c r="H504" i="8"/>
  <c r="H491" i="8"/>
  <c r="H485" i="8"/>
  <c r="H480" i="8"/>
  <c r="H466" i="8"/>
  <c r="H453" i="8"/>
  <c r="H448" i="8"/>
  <c r="H415" i="8"/>
  <c r="H404" i="8"/>
  <c r="H420" i="8"/>
  <c r="H409" i="8"/>
  <c r="H394" i="8"/>
  <c r="H372" i="8"/>
  <c r="H356" i="8"/>
  <c r="H380" i="8"/>
  <c r="H385" i="8"/>
  <c r="H399" i="8"/>
  <c r="H367" i="8"/>
  <c r="H361" i="8"/>
  <c r="H348" i="8"/>
  <c r="G752" i="8"/>
  <c r="H326" i="8"/>
  <c r="H239" i="8"/>
  <c r="H273" i="8"/>
  <c r="H302" i="8"/>
  <c r="H308" i="8"/>
  <c r="H199" i="8"/>
  <c r="H314" i="8"/>
  <c r="H334" i="8"/>
  <c r="H320" i="8"/>
  <c r="H285" i="8"/>
  <c r="H290" i="8"/>
  <c r="H266" i="8"/>
  <c r="H259" i="8"/>
  <c r="H254" i="8"/>
  <c r="H249" i="8"/>
  <c r="H244" i="8"/>
  <c r="H204" i="8"/>
  <c r="H190" i="8"/>
  <c r="H185" i="8"/>
  <c r="H175" i="8"/>
  <c r="H170" i="8"/>
  <c r="H165" i="8"/>
  <c r="H211" i="8"/>
  <c r="H150" i="8"/>
  <c r="H51" i="8"/>
  <c r="H223" i="8"/>
  <c r="H62" i="8"/>
  <c r="H233" i="8"/>
  <c r="H228" i="8"/>
  <c r="H9" i="8"/>
  <c r="H69" i="8"/>
  <c r="H155" i="8"/>
  <c r="H216" i="8"/>
  <c r="H144" i="8"/>
  <c r="H135" i="8"/>
  <c r="H119" i="8"/>
  <c r="H126" i="8"/>
  <c r="H112" i="8"/>
  <c r="H105" i="8"/>
  <c r="H100" i="8"/>
  <c r="H93" i="8"/>
  <c r="H87" i="8"/>
  <c r="H81" i="8"/>
  <c r="H74" i="8"/>
  <c r="H56" i="8"/>
  <c r="H45" i="8"/>
  <c r="H40" i="8"/>
  <c r="H35" i="8"/>
  <c r="H30" i="8"/>
  <c r="H25" i="8"/>
  <c r="H14" i="8"/>
  <c r="K878" i="20"/>
  <c r="K102" i="20"/>
  <c r="K402" i="20"/>
  <c r="K296" i="20"/>
  <c r="K524" i="20"/>
  <c r="K225" i="20"/>
  <c r="K8" i="20"/>
  <c r="K272" i="20"/>
  <c r="K264" i="20" s="1"/>
  <c r="K445" i="20"/>
  <c r="K188" i="20"/>
  <c r="K620" i="20"/>
  <c r="K767" i="20"/>
  <c r="J701" i="21"/>
  <c r="J491" i="21"/>
  <c r="J577" i="21"/>
  <c r="J405" i="21"/>
  <c r="J282" i="21"/>
  <c r="J693" i="21"/>
  <c r="J79" i="21"/>
  <c r="J192" i="21"/>
  <c r="I489" i="21"/>
  <c r="J295" i="21"/>
  <c r="J540" i="21"/>
  <c r="J554" i="21"/>
  <c r="J270" i="21"/>
  <c r="J761" i="21"/>
  <c r="J16" i="21"/>
  <c r="J683" i="21"/>
  <c r="J33" i="21"/>
  <c r="J662" i="21"/>
  <c r="J559" i="21"/>
  <c r="J449" i="21"/>
  <c r="J350" i="21"/>
  <c r="J442" i="21"/>
  <c r="J479" i="21"/>
  <c r="J755" i="21"/>
  <c r="J27" i="21"/>
  <c r="J509" i="21"/>
  <c r="J461" i="21"/>
  <c r="J595" i="21"/>
  <c r="J533" i="21"/>
  <c r="J621" i="21"/>
  <c r="J725" i="21"/>
  <c r="J10" i="21"/>
  <c r="J73" i="21"/>
  <c r="J546" i="21"/>
  <c r="J118" i="21"/>
  <c r="I177" i="21"/>
  <c r="J165" i="21"/>
  <c r="J744" i="21"/>
  <c r="J732" i="21"/>
  <c r="J182" i="21"/>
  <c r="J713" i="21"/>
  <c r="J241" i="21"/>
  <c r="J658" i="20"/>
  <c r="J657" i="20" s="1"/>
  <c r="J784" i="20"/>
  <c r="J783" i="20" s="1"/>
  <c r="J622" i="20"/>
  <c r="J621" i="20" s="1"/>
  <c r="J63" i="20"/>
  <c r="J34" i="20"/>
  <c r="J807" i="20"/>
  <c r="J761" i="20"/>
  <c r="J252" i="20"/>
  <c r="J27" i="20"/>
  <c r="J615" i="20"/>
  <c r="J220" i="20"/>
  <c r="J451" i="20"/>
  <c r="J259" i="20"/>
  <c r="J505" i="20"/>
  <c r="J735" i="20"/>
  <c r="J814" i="20"/>
  <c r="J279" i="20"/>
  <c r="J918" i="20"/>
  <c r="J446" i="20"/>
  <c r="J239" i="20"/>
  <c r="J696" i="20"/>
  <c r="J369" i="20"/>
  <c r="J436" i="20"/>
  <c r="J245" i="20"/>
  <c r="J383" i="20"/>
  <c r="J191" i="20"/>
  <c r="J149" i="20"/>
  <c r="J742" i="20"/>
  <c r="J851" i="20"/>
  <c r="J594" i="20"/>
  <c r="J16" i="20"/>
  <c r="J768" i="20"/>
  <c r="J172" i="20"/>
  <c r="J10" i="20"/>
  <c r="J681" i="20"/>
  <c r="J754" i="20"/>
  <c r="J873" i="20"/>
  <c r="J97" i="20"/>
  <c r="J899" i="20"/>
  <c r="J267" i="20"/>
  <c r="J139" i="20"/>
  <c r="J227" i="20"/>
  <c r="J575" i="20"/>
  <c r="J607" i="20"/>
  <c r="J208" i="20"/>
  <c r="J882" i="20"/>
  <c r="J729" i="20"/>
  <c r="J364" i="20"/>
  <c r="J564" i="20"/>
  <c r="J863" i="20"/>
  <c r="J348" i="20"/>
  <c r="J906" i="20"/>
  <c r="J515" i="20"/>
  <c r="J105" i="20"/>
  <c r="J183" i="20"/>
  <c r="J213" i="20"/>
  <c r="J286" i="20"/>
  <c r="J888" i="20"/>
  <c r="J424" i="20"/>
  <c r="J495" i="20"/>
  <c r="J717" i="20"/>
  <c r="J155" i="20"/>
  <c r="J202" i="20"/>
  <c r="J299" i="20"/>
  <c r="J157" i="21"/>
  <c r="K158" i="21"/>
  <c r="J60" i="21"/>
  <c r="J44" i="21"/>
  <c r="I78" i="21"/>
  <c r="I7" i="21" s="1"/>
  <c r="I293" i="21"/>
  <c r="G6" i="8"/>
  <c r="H414" i="8" l="1"/>
  <c r="H955" i="8"/>
  <c r="H944" i="8"/>
  <c r="H707" i="8"/>
  <c r="H928" i="8"/>
  <c r="H735" i="8"/>
  <c r="H714" i="8"/>
  <c r="H701" i="8"/>
  <c r="H432" i="8"/>
  <c r="H425" i="8" s="1"/>
  <c r="H813" i="8"/>
  <c r="H787" i="8"/>
  <c r="H774" i="8"/>
  <c r="H741" i="8"/>
  <c r="H720" i="8"/>
  <c r="H603" i="8"/>
  <c r="H559" i="8"/>
  <c r="H590" i="8"/>
  <c r="H517" i="8"/>
  <c r="H509" i="8"/>
  <c r="H496" i="8"/>
  <c r="H490" i="8"/>
  <c r="H474" i="8"/>
  <c r="H460" i="8"/>
  <c r="H393" i="8"/>
  <c r="H379" i="8"/>
  <c r="H355" i="8"/>
  <c r="H333" i="8"/>
  <c r="H272" i="8"/>
  <c r="H265" i="8"/>
  <c r="H238" i="8"/>
  <c r="H61" i="8"/>
  <c r="H210" i="8"/>
  <c r="H134" i="8"/>
  <c r="H92" i="8"/>
  <c r="H86" i="8"/>
  <c r="H68" i="8"/>
  <c r="H50" i="8"/>
  <c r="H19" i="8"/>
  <c r="H8" i="8"/>
  <c r="K605" i="20"/>
  <c r="K7" i="20"/>
  <c r="K766" i="20"/>
  <c r="K434" i="20"/>
  <c r="K381" i="20"/>
  <c r="K514" i="20"/>
  <c r="J688" i="21"/>
  <c r="J508" i="21"/>
  <c r="J490" i="21"/>
  <c r="J373" i="21"/>
  <c r="J294" i="21"/>
  <c r="J720" i="21"/>
  <c r="J191" i="21"/>
  <c r="J164" i="21"/>
  <c r="J682" i="21"/>
  <c r="J207" i="21"/>
  <c r="J712" i="21"/>
  <c r="J460" i="21"/>
  <c r="J26" i="21"/>
  <c r="J539" i="21"/>
  <c r="J731" i="21"/>
  <c r="J760" i="21"/>
  <c r="J9" i="21"/>
  <c r="J620" i="21"/>
  <c r="J594" i="21"/>
  <c r="J15" i="21"/>
  <c r="J72" i="21"/>
  <c r="J345" i="21"/>
  <c r="J743" i="21"/>
  <c r="J545" i="21"/>
  <c r="J448" i="21"/>
  <c r="J661" i="21"/>
  <c r="J253" i="21"/>
  <c r="J820" i="20"/>
  <c r="J274" i="20"/>
  <c r="J273" i="20" s="1"/>
  <c r="J423" i="20"/>
  <c r="J898" i="20"/>
  <c r="J872" i="20"/>
  <c r="J190" i="20"/>
  <c r="J244" i="20"/>
  <c r="J104" i="20"/>
  <c r="J171" i="20"/>
  <c r="J574" i="20"/>
  <c r="J782" i="20"/>
  <c r="J734" i="20"/>
  <c r="J258" i="20"/>
  <c r="J219" i="20"/>
  <c r="J26" i="20"/>
  <c r="J760" i="20"/>
  <c r="J314" i="20"/>
  <c r="J33" i="20"/>
  <c r="J716" i="20"/>
  <c r="J201" i="20"/>
  <c r="J207" i="20"/>
  <c r="J122" i="20"/>
  <c r="J298" i="20"/>
  <c r="J154" i="20"/>
  <c r="J494" i="20"/>
  <c r="J887" i="20"/>
  <c r="J363" i="20"/>
  <c r="J361" i="20" s="1"/>
  <c r="J881" i="20"/>
  <c r="J606" i="20"/>
  <c r="J266" i="20"/>
  <c r="J753" i="20"/>
  <c r="J741" i="20" s="1"/>
  <c r="J382" i="20"/>
  <c r="J435" i="20"/>
  <c r="J695" i="20"/>
  <c r="J285" i="20"/>
  <c r="J563" i="20"/>
  <c r="J9" i="20"/>
  <c r="J15" i="20"/>
  <c r="J148" i="20"/>
  <c r="J238" i="20"/>
  <c r="J917" i="20"/>
  <c r="J813" i="20"/>
  <c r="J614" i="20"/>
  <c r="J251" i="20"/>
  <c r="J806" i="20"/>
  <c r="J656" i="20"/>
  <c r="J156" i="21"/>
  <c r="K157" i="21"/>
  <c r="J49" i="21"/>
  <c r="J43" i="21"/>
  <c r="I6" i="21"/>
  <c r="H826" i="8" l="1"/>
  <c r="H752" i="8" s="1"/>
  <c r="H734" i="8"/>
  <c r="H713" i="8"/>
  <c r="H700" i="8" s="1"/>
  <c r="H589" i="8"/>
  <c r="H459" i="8"/>
  <c r="H378" i="8"/>
  <c r="H332" i="8"/>
  <c r="H264" i="8"/>
  <c r="H209" i="8"/>
  <c r="H149" i="8" s="1"/>
  <c r="H133" i="8"/>
  <c r="H7" i="8"/>
  <c r="K360" i="20"/>
  <c r="K6" i="20" s="1"/>
  <c r="J719" i="21"/>
  <c r="J532" i="21"/>
  <c r="J681" i="21"/>
  <c r="J742" i="21"/>
  <c r="J206" i="21"/>
  <c r="J567" i="21"/>
  <c r="J8" i="21"/>
  <c r="J459" i="21"/>
  <c r="J163" i="21"/>
  <c r="J647" i="21"/>
  <c r="J619" i="21"/>
  <c r="J730" i="21"/>
  <c r="J862" i="20"/>
  <c r="J819" i="20"/>
  <c r="J226" i="20"/>
  <c r="J759" i="20"/>
  <c r="J740" i="20" s="1"/>
  <c r="J218" i="20"/>
  <c r="J250" i="20"/>
  <c r="J284" i="20"/>
  <c r="J880" i="20"/>
  <c r="J147" i="20"/>
  <c r="J117" i="20"/>
  <c r="J32" i="20"/>
  <c r="J170" i="20"/>
  <c r="J905" i="20"/>
  <c r="J189" i="20"/>
  <c r="J613" i="20"/>
  <c r="J313" i="20"/>
  <c r="J257" i="20"/>
  <c r="J767" i="20"/>
  <c r="J562" i="20"/>
  <c r="J694" i="20"/>
  <c r="J265" i="20"/>
  <c r="J362" i="20"/>
  <c r="J493" i="20"/>
  <c r="J715" i="20"/>
  <c r="J103" i="20"/>
  <c r="J403" i="20"/>
  <c r="K156" i="21"/>
  <c r="J124" i="21"/>
  <c r="F898" i="8"/>
  <c r="F784" i="8"/>
  <c r="H151" i="21"/>
  <c r="H57" i="21"/>
  <c r="I914" i="20"/>
  <c r="L914" i="20" s="1"/>
  <c r="H922" i="20"/>
  <c r="G921" i="20"/>
  <c r="G920" i="20" s="1"/>
  <c r="G919" i="20" s="1"/>
  <c r="H538" i="8" l="1"/>
  <c r="H458" i="8"/>
  <c r="H377" i="8"/>
  <c r="H271" i="8" s="1"/>
  <c r="H67" i="8"/>
  <c r="K57" i="21"/>
  <c r="K151" i="21"/>
  <c r="J718" i="21"/>
  <c r="J177" i="21"/>
  <c r="J566" i="21"/>
  <c r="J447" i="21"/>
  <c r="J639" i="21"/>
  <c r="J162" i="21"/>
  <c r="J102" i="20"/>
  <c r="J297" i="20"/>
  <c r="J8" i="20"/>
  <c r="J402" i="20"/>
  <c r="J693" i="20"/>
  <c r="J904" i="20"/>
  <c r="J714" i="20"/>
  <c r="J445" i="20"/>
  <c r="J524" i="20"/>
  <c r="J272" i="20"/>
  <c r="J766" i="20"/>
  <c r="J188" i="20"/>
  <c r="J879" i="20"/>
  <c r="J225" i="20"/>
  <c r="J123" i="21"/>
  <c r="I921" i="20"/>
  <c r="G918" i="20"/>
  <c r="G917" i="20" s="1"/>
  <c r="F766" i="8"/>
  <c r="F263" i="8"/>
  <c r="I263" i="8" s="1"/>
  <c r="H23" i="21"/>
  <c r="H269" i="21"/>
  <c r="I895" i="20"/>
  <c r="L895" i="20" s="1"/>
  <c r="I138" i="20"/>
  <c r="L138" i="20" s="1"/>
  <c r="H473" i="8" l="1"/>
  <c r="H392" i="8"/>
  <c r="K23" i="21"/>
  <c r="K269" i="21"/>
  <c r="J618" i="21"/>
  <c r="J489" i="21"/>
  <c r="J293" i="21"/>
  <c r="J434" i="20"/>
  <c r="J381" i="20"/>
  <c r="I920" i="20"/>
  <c r="L921" i="20"/>
  <c r="J514" i="20"/>
  <c r="J264" i="20"/>
  <c r="J296" i="20"/>
  <c r="J878" i="20"/>
  <c r="J620" i="20"/>
  <c r="J7" i="20"/>
  <c r="J78" i="21"/>
  <c r="H921" i="20"/>
  <c r="H6" i="8" l="1"/>
  <c r="J605" i="20"/>
  <c r="J360" i="20"/>
  <c r="I919" i="20"/>
  <c r="L920" i="20"/>
  <c r="J7" i="21"/>
  <c r="H920" i="20"/>
  <c r="C30" i="14"/>
  <c r="C12" i="14"/>
  <c r="I918" i="20" l="1"/>
  <c r="L919" i="20"/>
  <c r="J6" i="20"/>
  <c r="J6" i="21"/>
  <c r="H919" i="20"/>
  <c r="F527" i="8"/>
  <c r="F522" i="8"/>
  <c r="F547" i="8"/>
  <c r="F495" i="8"/>
  <c r="H312" i="21"/>
  <c r="H309" i="21"/>
  <c r="H274" i="21"/>
  <c r="H321" i="21"/>
  <c r="I639" i="20"/>
  <c r="L639" i="20" s="1"/>
  <c r="I636" i="20"/>
  <c r="L636" i="20" s="1"/>
  <c r="I619" i="20"/>
  <c r="L619" i="20" s="1"/>
  <c r="I648" i="20"/>
  <c r="F546" i="8" l="1"/>
  <c r="I547" i="8"/>
  <c r="K312" i="21"/>
  <c r="K274" i="21"/>
  <c r="K309" i="21"/>
  <c r="H320" i="21"/>
  <c r="K321" i="21"/>
  <c r="I647" i="20"/>
  <c r="L648" i="20"/>
  <c r="I917" i="20"/>
  <c r="L918" i="20"/>
  <c r="H918" i="20"/>
  <c r="F352" i="8"/>
  <c r="I352" i="8" s="1"/>
  <c r="F347" i="8"/>
  <c r="I347" i="8" s="1"/>
  <c r="F338" i="8"/>
  <c r="I338" i="8" s="1"/>
  <c r="F340" i="8"/>
  <c r="I340" i="8" s="1"/>
  <c r="H591" i="21"/>
  <c r="H588" i="21"/>
  <c r="H581" i="21"/>
  <c r="H583" i="21"/>
  <c r="I848" i="20"/>
  <c r="L848" i="20" s="1"/>
  <c r="I846" i="20"/>
  <c r="I843" i="20"/>
  <c r="L843" i="20" s="1"/>
  <c r="I841" i="20"/>
  <c r="I834" i="20"/>
  <c r="L834" i="20" s="1"/>
  <c r="I836" i="20"/>
  <c r="L836" i="20" s="1"/>
  <c r="F545" i="8" l="1"/>
  <c r="I546" i="8"/>
  <c r="K581" i="21"/>
  <c r="K588" i="21"/>
  <c r="K591" i="21"/>
  <c r="K583" i="21"/>
  <c r="L647" i="20"/>
  <c r="L917" i="20"/>
  <c r="K320" i="21"/>
  <c r="H917" i="20"/>
  <c r="F24" i="8"/>
  <c r="I24" i="8" s="1"/>
  <c r="F34" i="8"/>
  <c r="I34" i="8" s="1"/>
  <c r="H90" i="21"/>
  <c r="H96" i="21"/>
  <c r="I80" i="20"/>
  <c r="L80" i="20" s="1"/>
  <c r="I74" i="20"/>
  <c r="L74" i="20" s="1"/>
  <c r="F544" i="8" l="1"/>
  <c r="I544" i="8" s="1"/>
  <c r="I545" i="8"/>
  <c r="K96" i="21"/>
  <c r="K90" i="21"/>
  <c r="F442" i="8"/>
  <c r="F419" i="8"/>
  <c r="I419" i="8" s="1"/>
  <c r="F408" i="8"/>
  <c r="I408" i="8" s="1"/>
  <c r="F403" i="8"/>
  <c r="I403" i="8" s="1"/>
  <c r="F398" i="8"/>
  <c r="I398" i="8" s="1"/>
  <c r="H625" i="21"/>
  <c r="H550" i="21"/>
  <c r="H657" i="21"/>
  <c r="H654" i="21"/>
  <c r="H651" i="21"/>
  <c r="I388" i="20"/>
  <c r="L388" i="20" s="1"/>
  <c r="I377" i="20"/>
  <c r="I374" i="20"/>
  <c r="L374" i="20" s="1"/>
  <c r="I419" i="20"/>
  <c r="L419" i="20" s="1"/>
  <c r="I416" i="20"/>
  <c r="I413" i="20"/>
  <c r="I410" i="20"/>
  <c r="L410" i="20" s="1"/>
  <c r="I407" i="20"/>
  <c r="L407" i="20" s="1"/>
  <c r="K550" i="21" l="1"/>
  <c r="K651" i="21"/>
  <c r="K625" i="21"/>
  <c r="K654" i="21"/>
  <c r="K657" i="21"/>
  <c r="F294" i="8"/>
  <c r="I294" i="8" s="1"/>
  <c r="F277" i="8"/>
  <c r="I277" i="8" s="1"/>
  <c r="H513" i="21"/>
  <c r="H495" i="21"/>
  <c r="I787" i="20"/>
  <c r="L787" i="20" s="1"/>
  <c r="I773" i="20"/>
  <c r="L773" i="20" s="1"/>
  <c r="K495" i="21" l="1"/>
  <c r="K513" i="21"/>
  <c r="F318" i="8"/>
  <c r="I318" i="8" s="1"/>
  <c r="F319" i="8"/>
  <c r="I319" i="8" s="1"/>
  <c r="F313" i="8"/>
  <c r="I313" i="8" s="1"/>
  <c r="F312" i="8"/>
  <c r="I312" i="8" s="1"/>
  <c r="H572" i="21"/>
  <c r="H571" i="21"/>
  <c r="H575" i="21"/>
  <c r="H576" i="21"/>
  <c r="I828" i="20"/>
  <c r="L828" i="20" s="1"/>
  <c r="I829" i="20"/>
  <c r="L829" i="20" s="1"/>
  <c r="I825" i="20"/>
  <c r="L825" i="20" s="1"/>
  <c r="I824" i="20"/>
  <c r="L824" i="20" s="1"/>
  <c r="F660" i="8"/>
  <c r="H281" i="21"/>
  <c r="I520" i="20"/>
  <c r="L520" i="20" s="1"/>
  <c r="F184" i="8"/>
  <c r="I184" i="8" s="1"/>
  <c r="F154" i="8"/>
  <c r="I154" i="8" s="1"/>
  <c r="F179" i="8"/>
  <c r="I179" i="8" s="1"/>
  <c r="H395" i="21"/>
  <c r="H377" i="21"/>
  <c r="H392" i="21"/>
  <c r="I461" i="20"/>
  <c r="I458" i="20"/>
  <c r="L458" i="20" s="1"/>
  <c r="I476" i="20"/>
  <c r="L476" i="20" s="1"/>
  <c r="I455" i="20"/>
  <c r="L455" i="20" s="1"/>
  <c r="I473" i="20"/>
  <c r="L473" i="20" s="1"/>
  <c r="K392" i="21" l="1"/>
  <c r="K281" i="21"/>
  <c r="K571" i="21"/>
  <c r="K377" i="21"/>
  <c r="K572" i="21"/>
  <c r="K395" i="21"/>
  <c r="K576" i="21"/>
  <c r="K575" i="21"/>
  <c r="F141" i="8"/>
  <c r="I141" i="8" s="1"/>
  <c r="F104" i="8"/>
  <c r="I104" i="8" s="1"/>
  <c r="F116" i="8"/>
  <c r="I116" i="8" s="1"/>
  <c r="F118" i="8"/>
  <c r="I118" i="8" s="1"/>
  <c r="F109" i="8"/>
  <c r="I109" i="8" s="1"/>
  <c r="F111" i="8"/>
  <c r="I111" i="8" s="1"/>
  <c r="H228" i="21"/>
  <c r="H230" i="21"/>
  <c r="H223" i="21"/>
  <c r="H225" i="21"/>
  <c r="H247" i="21"/>
  <c r="H220" i="21"/>
  <c r="I354" i="20"/>
  <c r="L354" i="20" s="1"/>
  <c r="I327" i="20"/>
  <c r="L327" i="20" s="1"/>
  <c r="I335" i="20"/>
  <c r="L335" i="20" s="1"/>
  <c r="I337" i="20"/>
  <c r="L337" i="20" s="1"/>
  <c r="I330" i="20"/>
  <c r="L330" i="20" s="1"/>
  <c r="I332" i="20"/>
  <c r="L332" i="20" s="1"/>
  <c r="K223" i="21" l="1"/>
  <c r="K220" i="21"/>
  <c r="K225" i="21"/>
  <c r="K230" i="21"/>
  <c r="K247" i="21"/>
  <c r="K228" i="21"/>
  <c r="F933" i="8"/>
  <c r="H765" i="21"/>
  <c r="I739" i="20"/>
  <c r="L739" i="20" s="1"/>
  <c r="F196" i="8"/>
  <c r="I196" i="8" s="1"/>
  <c r="H188" i="21"/>
  <c r="I442" i="20"/>
  <c r="L442" i="20" s="1"/>
  <c r="F915" i="8"/>
  <c r="H759" i="21"/>
  <c r="I187" i="20"/>
  <c r="L187" i="20" s="1"/>
  <c r="F906" i="8"/>
  <c r="F904" i="8"/>
  <c r="K750" i="21"/>
  <c r="H748" i="21"/>
  <c r="I178" i="20"/>
  <c r="L178" i="20" s="1"/>
  <c r="I176" i="20"/>
  <c r="L176" i="20" s="1"/>
  <c r="I61" i="20"/>
  <c r="L61" i="20" s="1"/>
  <c r="F910" i="8"/>
  <c r="F907" i="8"/>
  <c r="I907" i="8" s="1"/>
  <c r="H751" i="21"/>
  <c r="H754" i="21"/>
  <c r="I182" i="20"/>
  <c r="L182" i="20" s="1"/>
  <c r="I179" i="20"/>
  <c r="K765" i="21" l="1"/>
  <c r="K748" i="21"/>
  <c r="K759" i="21"/>
  <c r="K188" i="21"/>
  <c r="K754" i="21"/>
  <c r="L179" i="20"/>
  <c r="K751" i="21"/>
  <c r="F838" i="8"/>
  <c r="F836" i="8"/>
  <c r="H128" i="21"/>
  <c r="H130" i="21"/>
  <c r="I38" i="20"/>
  <c r="L38" i="20" s="1"/>
  <c r="I40" i="20"/>
  <c r="L40" i="20" s="1"/>
  <c r="K130" i="21" l="1"/>
  <c r="K128" i="21"/>
  <c r="C26" i="14"/>
  <c r="F139" i="8" l="1"/>
  <c r="I139" i="8" s="1"/>
  <c r="H245" i="21"/>
  <c r="I352" i="20"/>
  <c r="L352" i="20" s="1"/>
  <c r="K245" i="21" l="1"/>
  <c r="F329" i="8"/>
  <c r="I329" i="8" s="1"/>
  <c r="F323" i="8"/>
  <c r="I323" i="8" s="1"/>
  <c r="H524" i="21"/>
  <c r="H520" i="21"/>
  <c r="I798" i="20"/>
  <c r="I794" i="20"/>
  <c r="H523" i="21" l="1"/>
  <c r="K524" i="21"/>
  <c r="H519" i="21"/>
  <c r="K520" i="21"/>
  <c r="I793" i="20"/>
  <c r="L794" i="20"/>
  <c r="I797" i="20"/>
  <c r="L798" i="20"/>
  <c r="F328" i="8"/>
  <c r="I328" i="8" s="1"/>
  <c r="F322" i="8"/>
  <c r="I322" i="8" s="1"/>
  <c r="L797" i="20" l="1"/>
  <c r="L793" i="20"/>
  <c r="K519" i="21"/>
  <c r="K523" i="21"/>
  <c r="F321" i="8"/>
  <c r="I321" i="8" s="1"/>
  <c r="F327" i="8"/>
  <c r="I327" i="8" s="1"/>
  <c r="F812" i="8"/>
  <c r="F943" i="8"/>
  <c r="H42" i="21"/>
  <c r="H289" i="21"/>
  <c r="I752" i="20"/>
  <c r="L752" i="20" s="1"/>
  <c r="I765" i="20"/>
  <c r="L765" i="20" s="1"/>
  <c r="F568" i="8"/>
  <c r="H478" i="21"/>
  <c r="I713" i="20"/>
  <c r="L713" i="20" s="1"/>
  <c r="K478" i="21" l="1"/>
  <c r="K42" i="21"/>
  <c r="K289" i="21"/>
  <c r="F326" i="8"/>
  <c r="I326" i="8" s="1"/>
  <c r="F320" i="8"/>
  <c r="I320" i="8" s="1"/>
  <c r="F198" i="8"/>
  <c r="I198" i="8" s="1"/>
  <c r="H190" i="21"/>
  <c r="I444" i="20"/>
  <c r="L444" i="20" s="1"/>
  <c r="F84" i="8"/>
  <c r="I84" i="8" s="1"/>
  <c r="H210" i="21"/>
  <c r="I317" i="20"/>
  <c r="K190" i="21" l="1"/>
  <c r="H209" i="21"/>
  <c r="K210" i="21"/>
  <c r="I316" i="20"/>
  <c r="L317" i="20"/>
  <c r="F83" i="8"/>
  <c r="I83" i="8" s="1"/>
  <c r="F806" i="8"/>
  <c r="F810" i="8"/>
  <c r="F925" i="8"/>
  <c r="F920" i="8"/>
  <c r="H563" i="21"/>
  <c r="H446" i="21"/>
  <c r="H37" i="21"/>
  <c r="H40" i="21"/>
  <c r="I224" i="20"/>
  <c r="L224" i="20" s="1"/>
  <c r="I198" i="20"/>
  <c r="L198" i="20" s="1"/>
  <c r="I195" i="20"/>
  <c r="L195" i="20" s="1"/>
  <c r="F969" i="8"/>
  <c r="H291" i="21"/>
  <c r="I145" i="20"/>
  <c r="F542" i="8"/>
  <c r="H318" i="21"/>
  <c r="I645" i="20"/>
  <c r="F968" i="8" l="1"/>
  <c r="I968" i="8" s="1"/>
  <c r="I969" i="8"/>
  <c r="F541" i="8"/>
  <c r="I542" i="8"/>
  <c r="K563" i="21"/>
  <c r="K40" i="21"/>
  <c r="K37" i="21"/>
  <c r="K446" i="21"/>
  <c r="H317" i="21"/>
  <c r="K318" i="21"/>
  <c r="H208" i="21"/>
  <c r="K209" i="21"/>
  <c r="H290" i="21"/>
  <c r="K291" i="21"/>
  <c r="I644" i="20"/>
  <c r="L645" i="20"/>
  <c r="I144" i="20"/>
  <c r="L145" i="20"/>
  <c r="I315" i="20"/>
  <c r="L316" i="20"/>
  <c r="F82" i="8"/>
  <c r="I82" i="8" s="1"/>
  <c r="F236" i="8"/>
  <c r="I236" i="8" s="1"/>
  <c r="H348" i="21"/>
  <c r="I449" i="20"/>
  <c r="F540" i="8" l="1"/>
  <c r="I541" i="8"/>
  <c r="L315" i="20"/>
  <c r="L644" i="20"/>
  <c r="L144" i="20"/>
  <c r="K208" i="21"/>
  <c r="K290" i="21"/>
  <c r="K317" i="21"/>
  <c r="H347" i="21"/>
  <c r="K348" i="21"/>
  <c r="I448" i="20"/>
  <c r="L449" i="20"/>
  <c r="F81" i="8"/>
  <c r="I81" i="8" s="1"/>
  <c r="F235" i="8"/>
  <c r="I235" i="8" s="1"/>
  <c r="F371" i="8"/>
  <c r="I371" i="8" s="1"/>
  <c r="H697" i="21"/>
  <c r="I868" i="20"/>
  <c r="F539" i="8" l="1"/>
  <c r="I539" i="8" s="1"/>
  <c r="I540" i="8"/>
  <c r="H696" i="21"/>
  <c r="K697" i="21"/>
  <c r="H346" i="21"/>
  <c r="K347" i="21"/>
  <c r="I867" i="20"/>
  <c r="L868" i="20"/>
  <c r="I447" i="20"/>
  <c r="L448" i="20"/>
  <c r="F370" i="8"/>
  <c r="I370" i="8" s="1"/>
  <c r="F234" i="8"/>
  <c r="I234" i="8" s="1"/>
  <c r="F567" i="8"/>
  <c r="I567" i="8" s="1"/>
  <c r="F566" i="8"/>
  <c r="H477" i="21"/>
  <c r="H476" i="21"/>
  <c r="I711" i="20"/>
  <c r="L711" i="20" s="1"/>
  <c r="L867" i="20" l="1"/>
  <c r="K346" i="21"/>
  <c r="K477" i="21"/>
  <c r="K696" i="21"/>
  <c r="H475" i="21"/>
  <c r="K476" i="21"/>
  <c r="I446" i="20"/>
  <c r="L447" i="20"/>
  <c r="F565" i="8"/>
  <c r="I565" i="8" s="1"/>
  <c r="F233" i="8"/>
  <c r="I233" i="8" s="1"/>
  <c r="F532" i="8"/>
  <c r="F516" i="8"/>
  <c r="H365" i="21"/>
  <c r="H315" i="21"/>
  <c r="I673" i="20"/>
  <c r="L673" i="20" s="1"/>
  <c r="I642" i="20"/>
  <c r="L642" i="20" s="1"/>
  <c r="K365" i="21" l="1"/>
  <c r="K315" i="21"/>
  <c r="L446" i="20"/>
  <c r="K475" i="21"/>
  <c r="F295" i="8"/>
  <c r="I295" i="8" s="1"/>
  <c r="F514" i="8"/>
  <c r="F679" i="8"/>
  <c r="I679" i="8" s="1"/>
  <c r="F640" i="8"/>
  <c r="H514" i="21"/>
  <c r="H363" i="21"/>
  <c r="H433" i="21"/>
  <c r="H608" i="21"/>
  <c r="I788" i="20"/>
  <c r="L788" i="20" s="1"/>
  <c r="I671" i="20"/>
  <c r="L671" i="20" s="1"/>
  <c r="I560" i="20"/>
  <c r="I584" i="20"/>
  <c r="L584" i="20" s="1"/>
  <c r="K514" i="21" l="1"/>
  <c r="K608" i="21"/>
  <c r="K363" i="21"/>
  <c r="H432" i="21"/>
  <c r="K433" i="21"/>
  <c r="I559" i="20"/>
  <c r="L560" i="20"/>
  <c r="F678" i="8"/>
  <c r="I678" i="8" s="1"/>
  <c r="F564" i="8"/>
  <c r="H474" i="21"/>
  <c r="I709" i="20"/>
  <c r="L709" i="20" s="1"/>
  <c r="K474" i="21" l="1"/>
  <c r="L559" i="20"/>
  <c r="K432" i="21"/>
  <c r="F677" i="8"/>
  <c r="I677" i="8" s="1"/>
  <c r="F203" i="8"/>
  <c r="I203" i="8" s="1"/>
  <c r="H401" i="21"/>
  <c r="I482" i="20"/>
  <c r="L482" i="20" s="1"/>
  <c r="K401" i="21" l="1"/>
  <c r="F676" i="8"/>
  <c r="I676" i="8" s="1"/>
  <c r="F831" i="8"/>
  <c r="H77" i="21"/>
  <c r="I31" i="20"/>
  <c r="L31" i="20" s="1"/>
  <c r="K77" i="21" l="1"/>
  <c r="F97" i="8"/>
  <c r="I97" i="8" s="1"/>
  <c r="F98" i="8"/>
  <c r="I98" i="8" s="1"/>
  <c r="H216" i="21"/>
  <c r="H215" i="21"/>
  <c r="I322" i="20"/>
  <c r="L322" i="20" s="1"/>
  <c r="I323" i="20"/>
  <c r="K215" i="21" l="1"/>
  <c r="L323" i="20"/>
  <c r="K216" i="21"/>
  <c r="F503" i="8"/>
  <c r="F500" i="8"/>
  <c r="I500" i="8" s="1"/>
  <c r="F484" i="8"/>
  <c r="H302" i="21"/>
  <c r="H356" i="21"/>
  <c r="H353" i="21"/>
  <c r="I661" i="20"/>
  <c r="I664" i="20"/>
  <c r="L664" i="20" s="1"/>
  <c r="I629" i="20"/>
  <c r="L629" i="20" s="1"/>
  <c r="K302" i="21" l="1"/>
  <c r="K356" i="21"/>
  <c r="L661" i="20"/>
  <c r="K353" i="21"/>
  <c r="F608" i="8"/>
  <c r="F617" i="8"/>
  <c r="I617" i="8" s="1"/>
  <c r="H334" i="21"/>
  <c r="H332" i="21"/>
  <c r="I531" i="20"/>
  <c r="I529" i="20"/>
  <c r="L529" i="20" s="1"/>
  <c r="K332" i="21" l="1"/>
  <c r="H333" i="21"/>
  <c r="K334" i="21"/>
  <c r="I530" i="20"/>
  <c r="L531" i="20"/>
  <c r="F616" i="8"/>
  <c r="I616" i="8" s="1"/>
  <c r="F194" i="8"/>
  <c r="I194" i="8" s="1"/>
  <c r="H186" i="21"/>
  <c r="I440" i="20"/>
  <c r="L440" i="20" s="1"/>
  <c r="C17" i="14"/>
  <c r="C15" i="14"/>
  <c r="F974" i="8"/>
  <c r="I974" i="8" s="1"/>
  <c r="F688" i="8"/>
  <c r="I688" i="8" s="1"/>
  <c r="F685" i="8"/>
  <c r="I685" i="8" s="1"/>
  <c r="H340" i="21"/>
  <c r="H337" i="21"/>
  <c r="H180" i="21"/>
  <c r="I537" i="20"/>
  <c r="I534" i="20"/>
  <c r="I120" i="20"/>
  <c r="K186" i="21" l="1"/>
  <c r="L530" i="20"/>
  <c r="K333" i="21"/>
  <c r="H336" i="21"/>
  <c r="K337" i="21"/>
  <c r="H179" i="21"/>
  <c r="K180" i="21"/>
  <c r="H339" i="21"/>
  <c r="K340" i="21"/>
  <c r="I533" i="20"/>
  <c r="L534" i="20"/>
  <c r="I536" i="20"/>
  <c r="L537" i="20"/>
  <c r="I119" i="20"/>
  <c r="L120" i="20"/>
  <c r="F973" i="8"/>
  <c r="I973" i="8" s="1"/>
  <c r="F684" i="8"/>
  <c r="I684" i="8" s="1"/>
  <c r="F687" i="8"/>
  <c r="I687" i="8" s="1"/>
  <c r="F615" i="8"/>
  <c r="I615" i="8" s="1"/>
  <c r="L533" i="20" l="1"/>
  <c r="L536" i="20"/>
  <c r="K336" i="21"/>
  <c r="K339" i="21"/>
  <c r="H178" i="21"/>
  <c r="K179" i="21"/>
  <c r="I118" i="20"/>
  <c r="L119" i="20"/>
  <c r="F972" i="8"/>
  <c r="I972" i="8" s="1"/>
  <c r="F614" i="8"/>
  <c r="I614" i="8" s="1"/>
  <c r="I200" i="20"/>
  <c r="L200" i="20" s="1"/>
  <c r="I216" i="20"/>
  <c r="H217" i="20"/>
  <c r="G216" i="20"/>
  <c r="G215" i="20" s="1"/>
  <c r="G214" i="20" s="1"/>
  <c r="G213" i="20" s="1"/>
  <c r="L216" i="20" l="1"/>
  <c r="L118" i="20"/>
  <c r="K178" i="21"/>
  <c r="F971" i="8"/>
  <c r="I971" i="8" s="1"/>
  <c r="H216" i="20"/>
  <c r="I215" i="20"/>
  <c r="F143" i="8"/>
  <c r="I143" i="8" s="1"/>
  <c r="H249" i="21"/>
  <c r="I356" i="20"/>
  <c r="L356" i="20" s="1"/>
  <c r="K249" i="21" l="1"/>
  <c r="I214" i="20"/>
  <c r="L215" i="20"/>
  <c r="H215" i="20"/>
  <c r="I213" i="20" l="1"/>
  <c r="L214" i="20"/>
  <c r="H214" i="20"/>
  <c r="L213" i="20" l="1"/>
  <c r="H213" i="20"/>
  <c r="F508" i="8"/>
  <c r="H359" i="21"/>
  <c r="I667" i="20"/>
  <c r="L667" i="20" s="1"/>
  <c r="K359" i="21" l="1"/>
  <c r="F719" i="8"/>
  <c r="H729" i="21"/>
  <c r="F729" i="21"/>
  <c r="F728" i="21" s="1"/>
  <c r="F727" i="21" s="1"/>
  <c r="F726" i="21" s="1"/>
  <c r="F725" i="21" s="1"/>
  <c r="I283" i="20"/>
  <c r="K729" i="21" l="1"/>
  <c r="I282" i="20"/>
  <c r="L283" i="20"/>
  <c r="F718" i="8"/>
  <c r="I718" i="8" s="1"/>
  <c r="G729" i="21"/>
  <c r="H728" i="21"/>
  <c r="L282" i="20" l="1"/>
  <c r="I281" i="20"/>
  <c r="I280" i="20" s="1"/>
  <c r="H727" i="21"/>
  <c r="K728" i="21"/>
  <c r="F717" i="8"/>
  <c r="I717" i="8" s="1"/>
  <c r="G728" i="21"/>
  <c r="F130" i="8"/>
  <c r="I130" i="8" s="1"/>
  <c r="H238" i="21"/>
  <c r="I345" i="20"/>
  <c r="L345" i="20" s="1"/>
  <c r="L281" i="20" l="1"/>
  <c r="K238" i="21"/>
  <c r="K727" i="21"/>
  <c r="H726" i="21"/>
  <c r="G727" i="21"/>
  <c r="I279" i="20"/>
  <c r="L280" i="20"/>
  <c r="F716" i="8"/>
  <c r="I716" i="8" s="1"/>
  <c r="L279" i="20" l="1"/>
  <c r="K726" i="21"/>
  <c r="H725" i="21"/>
  <c r="G726" i="21"/>
  <c r="F715" i="8"/>
  <c r="I715" i="8" s="1"/>
  <c r="F883" i="8"/>
  <c r="H288" i="21"/>
  <c r="H286" i="21"/>
  <c r="I143" i="20"/>
  <c r="L143" i="20" s="1"/>
  <c r="G725" i="21" l="1"/>
  <c r="K725" i="21"/>
  <c r="H285" i="21"/>
  <c r="K286" i="21"/>
  <c r="H287" i="21"/>
  <c r="K288" i="21"/>
  <c r="F714" i="8"/>
  <c r="I714" i="8" s="1"/>
  <c r="K287" i="21" l="1"/>
  <c r="K285" i="21"/>
  <c r="H284" i="21"/>
  <c r="F967" i="8"/>
  <c r="I967" i="8" s="1"/>
  <c r="F713" i="8"/>
  <c r="I713" i="8" s="1"/>
  <c r="F148" i="8"/>
  <c r="I148" i="8" s="1"/>
  <c r="H252" i="21"/>
  <c r="I359" i="20"/>
  <c r="L359" i="20" s="1"/>
  <c r="K252" i="21" l="1"/>
  <c r="K284" i="21"/>
  <c r="H283" i="21"/>
  <c r="F966" i="8"/>
  <c r="I966" i="8" s="1"/>
  <c r="F745" i="8"/>
  <c r="I745" i="8" s="1"/>
  <c r="H437" i="21"/>
  <c r="I488" i="20"/>
  <c r="K283" i="21" l="1"/>
  <c r="H436" i="21"/>
  <c r="K437" i="21"/>
  <c r="I487" i="20"/>
  <c r="L488" i="20"/>
  <c r="F744" i="8"/>
  <c r="I744" i="8" s="1"/>
  <c r="I733" i="20"/>
  <c r="L733" i="20" s="1"/>
  <c r="I25" i="20"/>
  <c r="L25" i="20" s="1"/>
  <c r="L487" i="20" l="1"/>
  <c r="K436" i="21"/>
  <c r="F743" i="8"/>
  <c r="I743" i="8" s="1"/>
  <c r="F451" i="8"/>
  <c r="I451" i="8" s="1"/>
  <c r="F456" i="8"/>
  <c r="I456" i="8" s="1"/>
  <c r="H637" i="21"/>
  <c r="H634" i="21"/>
  <c r="I397" i="20"/>
  <c r="I400" i="20"/>
  <c r="H636" i="21" l="1"/>
  <c r="K637" i="21"/>
  <c r="H633" i="21"/>
  <c r="K634" i="21"/>
  <c r="I399" i="20"/>
  <c r="L400" i="20"/>
  <c r="I396" i="20"/>
  <c r="L397" i="20"/>
  <c r="F455" i="8"/>
  <c r="I455" i="8" s="1"/>
  <c r="F450" i="8"/>
  <c r="I450" i="8" s="1"/>
  <c r="F742" i="8"/>
  <c r="I742" i="8" s="1"/>
  <c r="F437" i="8"/>
  <c r="H632" i="21"/>
  <c r="I395" i="20"/>
  <c r="L395" i="20" s="1"/>
  <c r="F794" i="8"/>
  <c r="F792" i="8"/>
  <c r="H66" i="21"/>
  <c r="H64" i="21"/>
  <c r="I723" i="20"/>
  <c r="L723" i="20" s="1"/>
  <c r="I721" i="20"/>
  <c r="L721" i="20" s="1"/>
  <c r="K66" i="21" l="1"/>
  <c r="K632" i="21"/>
  <c r="K64" i="21"/>
  <c r="L396" i="20"/>
  <c r="L399" i="20"/>
  <c r="K633" i="21"/>
  <c r="K636" i="21"/>
  <c r="F449" i="8"/>
  <c r="I449" i="8" s="1"/>
  <c r="F454" i="8"/>
  <c r="I454" i="8" s="1"/>
  <c r="F926" i="8"/>
  <c r="I926" i="8" s="1"/>
  <c r="H564" i="21"/>
  <c r="I263" i="20"/>
  <c r="L263" i="20" s="1"/>
  <c r="H818" i="20"/>
  <c r="I817" i="20"/>
  <c r="G817" i="20"/>
  <c r="K564" i="21" l="1"/>
  <c r="I816" i="20"/>
  <c r="L817" i="20"/>
  <c r="F453" i="8"/>
  <c r="I453" i="8" s="1"/>
  <c r="F448" i="8"/>
  <c r="I448" i="8" s="1"/>
  <c r="H817" i="20"/>
  <c r="G816" i="20"/>
  <c r="G815" i="20" s="1"/>
  <c r="G814" i="20" s="1"/>
  <c r="G813" i="20" s="1"/>
  <c r="L816" i="20" l="1"/>
  <c r="I815" i="20"/>
  <c r="H816" i="20"/>
  <c r="L815" i="20" l="1"/>
  <c r="H815" i="20"/>
  <c r="I814" i="20"/>
  <c r="L814" i="20" l="1"/>
  <c r="H814" i="20"/>
  <c r="I813" i="20"/>
  <c r="L813" i="20" l="1"/>
  <c r="H813" i="20"/>
  <c r="I823" i="20"/>
  <c r="H570" i="21"/>
  <c r="F311" i="8"/>
  <c r="I311" i="8" s="1"/>
  <c r="F699" i="8"/>
  <c r="F650" i="8"/>
  <c r="H507" i="21"/>
  <c r="H614" i="21"/>
  <c r="I579" i="20"/>
  <c r="L579" i="20" s="1"/>
  <c r="I590" i="20"/>
  <c r="L590" i="20" s="1"/>
  <c r="F164" i="8"/>
  <c r="I164" i="8" s="1"/>
  <c r="H383" i="21"/>
  <c r="I464" i="20"/>
  <c r="L464" i="20" s="1"/>
  <c r="F117" i="8"/>
  <c r="I117" i="8" s="1"/>
  <c r="F110" i="8"/>
  <c r="I110" i="8" s="1"/>
  <c r="H229" i="21"/>
  <c r="H224" i="21"/>
  <c r="I336" i="20"/>
  <c r="I331" i="20"/>
  <c r="K507" i="21" l="1"/>
  <c r="K383" i="21"/>
  <c r="K614" i="21"/>
  <c r="L336" i="20"/>
  <c r="L823" i="20"/>
  <c r="L331" i="20"/>
  <c r="K224" i="21"/>
  <c r="K229" i="21"/>
  <c r="K570" i="21"/>
  <c r="F288" i="8"/>
  <c r="I288" i="8" s="1"/>
  <c r="H502" i="21"/>
  <c r="I780" i="20"/>
  <c r="H501" i="21" l="1"/>
  <c r="K502" i="21"/>
  <c r="I779" i="20"/>
  <c r="L780" i="20"/>
  <c r="F287" i="8"/>
  <c r="I287" i="8" s="1"/>
  <c r="F231" i="8"/>
  <c r="I231" i="8" s="1"/>
  <c r="F226" i="8"/>
  <c r="I226" i="8" s="1"/>
  <c r="H645" i="21"/>
  <c r="H642" i="21"/>
  <c r="I512" i="20"/>
  <c r="I509" i="20"/>
  <c r="L779" i="20" l="1"/>
  <c r="K501" i="21"/>
  <c r="H644" i="21"/>
  <c r="K645" i="21"/>
  <c r="H641" i="21"/>
  <c r="K642" i="21"/>
  <c r="I508" i="20"/>
  <c r="L509" i="20"/>
  <c r="I511" i="20"/>
  <c r="L512" i="20"/>
  <c r="F225" i="8"/>
  <c r="I225" i="8" s="1"/>
  <c r="F230" i="8"/>
  <c r="I230" i="8" s="1"/>
  <c r="F286" i="8"/>
  <c r="I286" i="8" s="1"/>
  <c r="L511" i="20" l="1"/>
  <c r="L508" i="20"/>
  <c r="K644" i="21"/>
  <c r="K641" i="21"/>
  <c r="H640" i="21"/>
  <c r="I507" i="20"/>
  <c r="F229" i="8"/>
  <c r="I229" i="8" s="1"/>
  <c r="F285" i="8"/>
  <c r="I285" i="8" s="1"/>
  <c r="F224" i="8"/>
  <c r="I224" i="8" s="1"/>
  <c r="F948" i="8"/>
  <c r="I948" i="8" s="1"/>
  <c r="H704" i="21"/>
  <c r="H159" i="20"/>
  <c r="I158" i="20"/>
  <c r="G158" i="20"/>
  <c r="K640" i="21" l="1"/>
  <c r="H703" i="21"/>
  <c r="K704" i="21"/>
  <c r="I506" i="20"/>
  <c r="L507" i="20"/>
  <c r="I157" i="20"/>
  <c r="L158" i="20"/>
  <c r="F947" i="8"/>
  <c r="I947" i="8" s="1"/>
  <c r="F223" i="8"/>
  <c r="I223" i="8" s="1"/>
  <c r="F228" i="8"/>
  <c r="I228" i="8" s="1"/>
  <c r="H158" i="20"/>
  <c r="L157" i="20" l="1"/>
  <c r="K703" i="21"/>
  <c r="I505" i="20"/>
  <c r="L506" i="20"/>
  <c r="F946" i="8"/>
  <c r="I946" i="8" s="1"/>
  <c r="F655" i="8"/>
  <c r="F208" i="8"/>
  <c r="I208" i="8" s="1"/>
  <c r="H404" i="21"/>
  <c r="H675" i="21"/>
  <c r="I485" i="20"/>
  <c r="L485" i="20" s="1"/>
  <c r="I599" i="20"/>
  <c r="L599" i="20" s="1"/>
  <c r="K675" i="21" l="1"/>
  <c r="K404" i="21"/>
  <c r="L505" i="20"/>
  <c r="F945" i="8"/>
  <c r="I945" i="8" s="1"/>
  <c r="F682" i="8"/>
  <c r="I682" i="8" s="1"/>
  <c r="F964" i="8"/>
  <c r="I964" i="8" s="1"/>
  <c r="F959" i="8"/>
  <c r="I959" i="8" s="1"/>
  <c r="F953" i="8"/>
  <c r="I953" i="8" s="1"/>
  <c r="F942" i="8"/>
  <c r="I942" i="8" s="1"/>
  <c r="F937" i="8"/>
  <c r="I937" i="8" s="1"/>
  <c r="F932" i="8"/>
  <c r="I932" i="8" s="1"/>
  <c r="F924" i="8"/>
  <c r="I924" i="8" s="1"/>
  <c r="F919" i="8"/>
  <c r="I919" i="8" s="1"/>
  <c r="F914" i="8"/>
  <c r="I914" i="8" s="1"/>
  <c r="F909" i="8"/>
  <c r="I909" i="8" s="1"/>
  <c r="F905" i="8"/>
  <c r="I905" i="8" s="1"/>
  <c r="F897" i="8"/>
  <c r="I897" i="8" s="1"/>
  <c r="F892" i="8"/>
  <c r="I892" i="8" s="1"/>
  <c r="F887" i="8"/>
  <c r="I887" i="8" s="1"/>
  <c r="F882" i="8"/>
  <c r="I882" i="8" s="1"/>
  <c r="F877" i="8"/>
  <c r="I877" i="8" s="1"/>
  <c r="F875" i="8"/>
  <c r="I875" i="8" s="1"/>
  <c r="F873" i="8"/>
  <c r="I873" i="8" s="1"/>
  <c r="F868" i="8"/>
  <c r="I868" i="8" s="1"/>
  <c r="F863" i="8"/>
  <c r="I863" i="8" s="1"/>
  <c r="F858" i="8"/>
  <c r="I858" i="8" s="1"/>
  <c r="F853" i="8"/>
  <c r="I853" i="8" s="1"/>
  <c r="F851" i="8"/>
  <c r="I851" i="8" s="1"/>
  <c r="F849" i="8"/>
  <c r="I849" i="8" s="1"/>
  <c r="F844" i="8"/>
  <c r="I844" i="8" s="1"/>
  <c r="F839" i="8"/>
  <c r="I839" i="8" s="1"/>
  <c r="F837" i="8"/>
  <c r="I837" i="8" s="1"/>
  <c r="F835" i="8"/>
  <c r="I835" i="8" s="1"/>
  <c r="F830" i="8"/>
  <c r="I830" i="8" s="1"/>
  <c r="F824" i="8"/>
  <c r="I824" i="8" s="1"/>
  <c r="F822" i="8"/>
  <c r="I822" i="8" s="1"/>
  <c r="F817" i="8"/>
  <c r="I817" i="8" s="1"/>
  <c r="F811" i="8"/>
  <c r="I811" i="8" s="1"/>
  <c r="F809" i="8"/>
  <c r="I809" i="8" s="1"/>
  <c r="F805" i="8"/>
  <c r="I805" i="8" s="1"/>
  <c r="F800" i="8"/>
  <c r="I800" i="8" s="1"/>
  <c r="F798" i="8"/>
  <c r="I798" i="8" s="1"/>
  <c r="F793" i="8"/>
  <c r="I793" i="8" s="1"/>
  <c r="F791" i="8"/>
  <c r="I791" i="8" s="1"/>
  <c r="F785" i="8"/>
  <c r="I785" i="8" s="1"/>
  <c r="F783" i="8"/>
  <c r="I783" i="8" s="1"/>
  <c r="F778" i="8"/>
  <c r="I778" i="8" s="1"/>
  <c r="F772" i="8"/>
  <c r="I772" i="8" s="1"/>
  <c r="F767" i="8"/>
  <c r="I767" i="8" s="1"/>
  <c r="F765" i="8"/>
  <c r="I765" i="8" s="1"/>
  <c r="F761" i="8"/>
  <c r="I761" i="8" s="1"/>
  <c r="F756" i="8"/>
  <c r="I756" i="8" s="1"/>
  <c r="F750" i="8"/>
  <c r="I750" i="8" s="1"/>
  <c r="F739" i="8"/>
  <c r="I739" i="8" s="1"/>
  <c r="F732" i="8"/>
  <c r="I732" i="8" s="1"/>
  <c r="F731" i="8"/>
  <c r="F726" i="8"/>
  <c r="F711" i="8"/>
  <c r="I711" i="8" s="1"/>
  <c r="F705" i="8"/>
  <c r="I705" i="8" s="1"/>
  <c r="F698" i="8"/>
  <c r="I698" i="8" s="1"/>
  <c r="F693" i="8"/>
  <c r="I693" i="8" s="1"/>
  <c r="F674" i="8"/>
  <c r="I674" i="8" s="1"/>
  <c r="F669" i="8"/>
  <c r="I669" i="8" s="1"/>
  <c r="F664" i="8"/>
  <c r="I664" i="8" s="1"/>
  <c r="F659" i="8"/>
  <c r="I659" i="8" s="1"/>
  <c r="F654" i="8"/>
  <c r="I654" i="8" s="1"/>
  <c r="F649" i="8"/>
  <c r="I649" i="8" s="1"/>
  <c r="F644" i="8"/>
  <c r="I644" i="8" s="1"/>
  <c r="F639" i="8"/>
  <c r="I639" i="8" s="1"/>
  <c r="F634" i="8"/>
  <c r="I634" i="8" s="1"/>
  <c r="F632" i="8"/>
  <c r="I632" i="8" s="1"/>
  <c r="F627" i="8"/>
  <c r="I627" i="8" s="1"/>
  <c r="F622" i="8"/>
  <c r="I622" i="8" s="1"/>
  <c r="F612" i="8"/>
  <c r="I612" i="8" s="1"/>
  <c r="F607" i="8"/>
  <c r="I607" i="8" s="1"/>
  <c r="F601" i="8"/>
  <c r="I601" i="8" s="1"/>
  <c r="F599" i="8"/>
  <c r="I599" i="8" s="1"/>
  <c r="F594" i="8"/>
  <c r="I594" i="8" s="1"/>
  <c r="F587" i="8"/>
  <c r="I587" i="8" s="1"/>
  <c r="F582" i="8"/>
  <c r="I582" i="8" s="1"/>
  <c r="F577" i="8"/>
  <c r="I577" i="8" s="1"/>
  <c r="F572" i="8"/>
  <c r="I572" i="8" s="1"/>
  <c r="F563" i="8"/>
  <c r="I563" i="8" s="1"/>
  <c r="F557" i="8"/>
  <c r="I557" i="8" s="1"/>
  <c r="F552" i="8"/>
  <c r="I552" i="8" s="1"/>
  <c r="F536" i="8"/>
  <c r="I536" i="8" s="1"/>
  <c r="F531" i="8"/>
  <c r="I531" i="8" s="1"/>
  <c r="F526" i="8"/>
  <c r="I526" i="8" s="1"/>
  <c r="F521" i="8"/>
  <c r="I521" i="8" s="1"/>
  <c r="F515" i="8"/>
  <c r="I515" i="8" s="1"/>
  <c r="F513" i="8"/>
  <c r="I513" i="8" s="1"/>
  <c r="F507" i="8"/>
  <c r="I507" i="8" s="1"/>
  <c r="F502" i="8"/>
  <c r="I502" i="8" s="1"/>
  <c r="F494" i="8"/>
  <c r="I494" i="8" s="1"/>
  <c r="F488" i="8"/>
  <c r="I488" i="8" s="1"/>
  <c r="F483" i="8"/>
  <c r="I483" i="8" s="1"/>
  <c r="F478" i="8"/>
  <c r="I478" i="8" s="1"/>
  <c r="F471" i="8"/>
  <c r="I471" i="8" s="1"/>
  <c r="F470" i="8"/>
  <c r="F465" i="8"/>
  <c r="F446" i="8"/>
  <c r="I446" i="8" s="1"/>
  <c r="F441" i="8"/>
  <c r="I441" i="8" s="1"/>
  <c r="F436" i="8"/>
  <c r="I436" i="8" s="1"/>
  <c r="F430" i="8"/>
  <c r="I430" i="8" s="1"/>
  <c r="F423" i="8"/>
  <c r="I423" i="8" s="1"/>
  <c r="F418" i="8"/>
  <c r="I418" i="8" s="1"/>
  <c r="F412" i="8"/>
  <c r="I412" i="8" s="1"/>
  <c r="F407" i="8"/>
  <c r="I407" i="8" s="1"/>
  <c r="F402" i="8"/>
  <c r="I402" i="8" s="1"/>
  <c r="F397" i="8"/>
  <c r="I397" i="8" s="1"/>
  <c r="F390" i="8"/>
  <c r="I390" i="8" s="1"/>
  <c r="F389" i="8"/>
  <c r="I389" i="8" s="1"/>
  <c r="F384" i="8"/>
  <c r="I384" i="8" s="1"/>
  <c r="F375" i="8"/>
  <c r="I375" i="8" s="1"/>
  <c r="F364" i="8"/>
  <c r="I364" i="8" s="1"/>
  <c r="F359" i="8"/>
  <c r="I359" i="8" s="1"/>
  <c r="F353" i="8"/>
  <c r="I353" i="8" s="1"/>
  <c r="F351" i="8"/>
  <c r="F346" i="8"/>
  <c r="F341" i="8"/>
  <c r="I341" i="8" s="1"/>
  <c r="F317" i="8"/>
  <c r="I317" i="8" s="1"/>
  <c r="F310" i="8"/>
  <c r="I310" i="8" s="1"/>
  <c r="F305" i="8"/>
  <c r="I305" i="8" s="1"/>
  <c r="F299" i="8"/>
  <c r="I299" i="8" s="1"/>
  <c r="F293" i="8"/>
  <c r="I293" i="8" s="1"/>
  <c r="F282" i="8"/>
  <c r="I282" i="8" s="1"/>
  <c r="F269" i="8"/>
  <c r="I269" i="8" s="1"/>
  <c r="F262" i="8"/>
  <c r="I262" i="8" s="1"/>
  <c r="F257" i="8"/>
  <c r="I257" i="8" s="1"/>
  <c r="F252" i="8"/>
  <c r="I252" i="8" s="1"/>
  <c r="F247" i="8"/>
  <c r="I247" i="8" s="1"/>
  <c r="F242" i="8"/>
  <c r="I242" i="8" s="1"/>
  <c r="F221" i="8"/>
  <c r="I221" i="8" s="1"/>
  <c r="F220" i="8"/>
  <c r="I220" i="8" s="1"/>
  <c r="F215" i="8"/>
  <c r="I215" i="8" s="1"/>
  <c r="F207" i="8"/>
  <c r="I207" i="8" s="1"/>
  <c r="F202" i="8"/>
  <c r="I202" i="8" s="1"/>
  <c r="F197" i="8"/>
  <c r="I197" i="8" s="1"/>
  <c r="F193" i="8"/>
  <c r="I193" i="8" s="1"/>
  <c r="F188" i="8"/>
  <c r="I188" i="8" s="1"/>
  <c r="F183" i="8"/>
  <c r="I183" i="8" s="1"/>
  <c r="F178" i="8"/>
  <c r="I178" i="8" s="1"/>
  <c r="F173" i="8"/>
  <c r="I173" i="8" s="1"/>
  <c r="F168" i="8"/>
  <c r="I168" i="8" s="1"/>
  <c r="F163" i="8"/>
  <c r="I163" i="8" s="1"/>
  <c r="F158" i="8"/>
  <c r="I158" i="8" s="1"/>
  <c r="F153" i="8"/>
  <c r="I153" i="8" s="1"/>
  <c r="F147" i="8"/>
  <c r="I147" i="8" s="1"/>
  <c r="F142" i="8"/>
  <c r="I142" i="8" s="1"/>
  <c r="F140" i="8"/>
  <c r="I140" i="8" s="1"/>
  <c r="F138" i="8"/>
  <c r="I138" i="8" s="1"/>
  <c r="F131" i="8"/>
  <c r="I131" i="8" s="1"/>
  <c r="F129" i="8"/>
  <c r="I129" i="8" s="1"/>
  <c r="F124" i="8"/>
  <c r="I124" i="8" s="1"/>
  <c r="F122" i="8"/>
  <c r="I122" i="8" s="1"/>
  <c r="F115" i="8"/>
  <c r="I115" i="8" s="1"/>
  <c r="F108" i="8"/>
  <c r="I108" i="8" s="1"/>
  <c r="F103" i="8"/>
  <c r="I103" i="8" s="1"/>
  <c r="F96" i="8"/>
  <c r="I96" i="8" s="1"/>
  <c r="F90" i="8"/>
  <c r="I90" i="8" s="1"/>
  <c r="F79" i="8"/>
  <c r="I79" i="8" s="1"/>
  <c r="F77" i="8"/>
  <c r="I77" i="8" s="1"/>
  <c r="F72" i="8"/>
  <c r="I72" i="8" s="1"/>
  <c r="F65" i="8"/>
  <c r="I65" i="8" s="1"/>
  <c r="F59" i="8"/>
  <c r="I59" i="8" s="1"/>
  <c r="F54" i="8"/>
  <c r="I54" i="8" s="1"/>
  <c r="F48" i="8"/>
  <c r="I48" i="8" s="1"/>
  <c r="F43" i="8"/>
  <c r="I43" i="8" s="1"/>
  <c r="F38" i="8"/>
  <c r="I38" i="8" s="1"/>
  <c r="F33" i="8"/>
  <c r="I33" i="8" s="1"/>
  <c r="F28" i="8"/>
  <c r="I28" i="8" s="1"/>
  <c r="F23" i="8"/>
  <c r="I23" i="8" s="1"/>
  <c r="F17" i="8"/>
  <c r="I17" i="8" s="1"/>
  <c r="F12" i="8"/>
  <c r="I12" i="8" s="1"/>
  <c r="G431" i="21"/>
  <c r="H430" i="21"/>
  <c r="F430" i="21"/>
  <c r="F429" i="21" s="1"/>
  <c r="G14" i="21"/>
  <c r="G25" i="21"/>
  <c r="G32" i="21"/>
  <c r="G37" i="21"/>
  <c r="G40" i="21"/>
  <c r="G42" i="21"/>
  <c r="G48" i="21"/>
  <c r="G59" i="21"/>
  <c r="G66" i="21"/>
  <c r="G69" i="21"/>
  <c r="G71" i="21"/>
  <c r="G77" i="21"/>
  <c r="G83" i="21"/>
  <c r="G86" i="21"/>
  <c r="G90" i="21"/>
  <c r="G93" i="21"/>
  <c r="G96" i="21"/>
  <c r="G99" i="21"/>
  <c r="G102" i="21"/>
  <c r="G105" i="21"/>
  <c r="G109" i="21"/>
  <c r="G112" i="21"/>
  <c r="G117" i="21"/>
  <c r="G122" i="21"/>
  <c r="G132" i="21"/>
  <c r="G135" i="21"/>
  <c r="G142" i="21"/>
  <c r="G145" i="21"/>
  <c r="G148" i="21"/>
  <c r="G153" i="21"/>
  <c r="G154" i="21"/>
  <c r="G155" i="21"/>
  <c r="G156" i="21"/>
  <c r="G157" i="21"/>
  <c r="G158" i="21"/>
  <c r="G159" i="21"/>
  <c r="G160" i="21"/>
  <c r="G161" i="21"/>
  <c r="G168" i="21"/>
  <c r="G176" i="21"/>
  <c r="G190" i="21"/>
  <c r="G199" i="21"/>
  <c r="G201" i="21"/>
  <c r="G205" i="21"/>
  <c r="G215" i="21"/>
  <c r="G223" i="21"/>
  <c r="G228" i="21"/>
  <c r="G233" i="21"/>
  <c r="G235" i="21"/>
  <c r="G238" i="21"/>
  <c r="G240" i="21"/>
  <c r="G249" i="21"/>
  <c r="G252" i="21"/>
  <c r="G257" i="21"/>
  <c r="G260" i="21"/>
  <c r="G263" i="21"/>
  <c r="G266" i="21"/>
  <c r="G269" i="21"/>
  <c r="G274" i="21"/>
  <c r="G278" i="21"/>
  <c r="G281" i="21"/>
  <c r="G284" i="21"/>
  <c r="G285" i="21"/>
  <c r="G286" i="21"/>
  <c r="G287" i="21"/>
  <c r="G288" i="21"/>
  <c r="G289" i="21"/>
  <c r="G299" i="21"/>
  <c r="G302" i="21"/>
  <c r="G305" i="21"/>
  <c r="G309" i="21"/>
  <c r="G312" i="21"/>
  <c r="G315" i="21"/>
  <c r="G328" i="21"/>
  <c r="G332" i="21"/>
  <c r="G344" i="21"/>
  <c r="G356" i="21"/>
  <c r="G359" i="21"/>
  <c r="G365" i="21"/>
  <c r="G368" i="21"/>
  <c r="G372" i="21"/>
  <c r="G377" i="21"/>
  <c r="G380" i="21"/>
  <c r="G383" i="21"/>
  <c r="G386" i="21"/>
  <c r="G389" i="21"/>
  <c r="G392" i="21"/>
  <c r="G395" i="21"/>
  <c r="G398" i="21"/>
  <c r="G404" i="21"/>
  <c r="G409" i="21"/>
  <c r="G412" i="21"/>
  <c r="G415" i="21"/>
  <c r="G419" i="21"/>
  <c r="G422" i="21"/>
  <c r="G425" i="21"/>
  <c r="G428" i="21"/>
  <c r="G441" i="21"/>
  <c r="G446" i="21"/>
  <c r="G458" i="21"/>
  <c r="G470" i="21"/>
  <c r="G488" i="21"/>
  <c r="G499" i="21"/>
  <c r="G500" i="21"/>
  <c r="G507" i="21"/>
  <c r="G513" i="21"/>
  <c r="G514" i="21"/>
  <c r="G517" i="21"/>
  <c r="G518" i="21"/>
  <c r="G530" i="21"/>
  <c r="G531" i="21"/>
  <c r="G537" i="21"/>
  <c r="G538" i="21"/>
  <c r="G544" i="21"/>
  <c r="G550" i="21"/>
  <c r="G553" i="21"/>
  <c r="G558" i="21"/>
  <c r="G563" i="21"/>
  <c r="G571" i="21"/>
  <c r="G575" i="21"/>
  <c r="G576" i="21"/>
  <c r="G585" i="21"/>
  <c r="G588" i="21"/>
  <c r="G591" i="21"/>
  <c r="G593" i="21"/>
  <c r="G604" i="21"/>
  <c r="G608" i="21"/>
  <c r="G611" i="21"/>
  <c r="G614" i="21"/>
  <c r="G617" i="21"/>
  <c r="G628" i="21"/>
  <c r="G632" i="21"/>
  <c r="G651" i="21"/>
  <c r="G654" i="21"/>
  <c r="G657" i="21"/>
  <c r="G660" i="21"/>
  <c r="G671" i="21"/>
  <c r="G675" i="21"/>
  <c r="G678" i="21"/>
  <c r="G680" i="21"/>
  <c r="G687" i="21"/>
  <c r="G692" i="21"/>
  <c r="G697" i="21"/>
  <c r="G700" i="21"/>
  <c r="G708" i="21"/>
  <c r="G711" i="21"/>
  <c r="G717" i="21"/>
  <c r="G724" i="21"/>
  <c r="G741" i="21"/>
  <c r="G750" i="21"/>
  <c r="G754" i="21"/>
  <c r="G759" i="21"/>
  <c r="G765" i="21"/>
  <c r="H764" i="21"/>
  <c r="H758" i="21"/>
  <c r="H753" i="21"/>
  <c r="H749" i="21"/>
  <c r="H747" i="21"/>
  <c r="H740" i="21"/>
  <c r="H739" i="21"/>
  <c r="H736" i="21"/>
  <c r="H723" i="21"/>
  <c r="H716" i="21"/>
  <c r="H710" i="21"/>
  <c r="H707" i="21"/>
  <c r="H699" i="21"/>
  <c r="H695" i="21"/>
  <c r="H691" i="21"/>
  <c r="H686" i="21"/>
  <c r="H679" i="21"/>
  <c r="H677" i="21"/>
  <c r="H674" i="21"/>
  <c r="H670" i="21"/>
  <c r="H669" i="21"/>
  <c r="H666" i="21"/>
  <c r="H659" i="21"/>
  <c r="H656" i="21"/>
  <c r="H653" i="21"/>
  <c r="H650" i="21"/>
  <c r="H631" i="21"/>
  <c r="H627" i="21"/>
  <c r="H624" i="21"/>
  <c r="H616" i="21"/>
  <c r="H613" i="21"/>
  <c r="H610" i="21"/>
  <c r="H607" i="21"/>
  <c r="H603" i="21"/>
  <c r="H602" i="21"/>
  <c r="H599" i="21"/>
  <c r="H592" i="21"/>
  <c r="H590" i="21"/>
  <c r="H587" i="21"/>
  <c r="H584" i="21"/>
  <c r="H582" i="21"/>
  <c r="H580" i="21"/>
  <c r="H574" i="21"/>
  <c r="H562" i="21"/>
  <c r="H557" i="21"/>
  <c r="H552" i="21"/>
  <c r="H549" i="21"/>
  <c r="H543" i="21"/>
  <c r="H536" i="21"/>
  <c r="H529" i="21"/>
  <c r="H516" i="21"/>
  <c r="H512" i="21"/>
  <c r="H506" i="21"/>
  <c r="H498" i="21"/>
  <c r="H487" i="21"/>
  <c r="H486" i="21"/>
  <c r="H483" i="21"/>
  <c r="H473" i="21"/>
  <c r="H469" i="21"/>
  <c r="H468" i="21"/>
  <c r="H465" i="21"/>
  <c r="H457" i="21"/>
  <c r="H456" i="21"/>
  <c r="H453" i="21"/>
  <c r="H445" i="21"/>
  <c r="H440" i="21"/>
  <c r="H427" i="21"/>
  <c r="H424" i="21"/>
  <c r="H421" i="21"/>
  <c r="H418" i="21"/>
  <c r="H414" i="21"/>
  <c r="H411" i="21"/>
  <c r="H408" i="21"/>
  <c r="H403" i="21"/>
  <c r="H400" i="21"/>
  <c r="H397" i="21"/>
  <c r="H394" i="21"/>
  <c r="H391" i="21"/>
  <c r="H388" i="21"/>
  <c r="H385" i="21"/>
  <c r="H382" i="21"/>
  <c r="H379" i="21"/>
  <c r="H376" i="21"/>
  <c r="H371" i="21"/>
  <c r="H367" i="21"/>
  <c r="H364" i="21"/>
  <c r="H362" i="21"/>
  <c r="H358" i="21"/>
  <c r="H355" i="21"/>
  <c r="H343" i="21"/>
  <c r="H331" i="21"/>
  <c r="H327" i="21"/>
  <c r="H325" i="21"/>
  <c r="H314" i="21"/>
  <c r="H311" i="21"/>
  <c r="H308" i="21"/>
  <c r="H304" i="21"/>
  <c r="H301" i="21"/>
  <c r="H298" i="21"/>
  <c r="H280" i="21"/>
  <c r="H277" i="21"/>
  <c r="H273" i="21"/>
  <c r="H268" i="21"/>
  <c r="H265" i="21"/>
  <c r="H262" i="21"/>
  <c r="H259" i="21"/>
  <c r="H256" i="21"/>
  <c r="H251" i="21"/>
  <c r="H248" i="21"/>
  <c r="H246" i="21"/>
  <c r="H244" i="21"/>
  <c r="H239" i="21"/>
  <c r="H237" i="21"/>
  <c r="H234" i="21"/>
  <c r="H232" i="21"/>
  <c r="H227" i="21"/>
  <c r="H222" i="21"/>
  <c r="H219" i="21"/>
  <c r="H214" i="21"/>
  <c r="H204" i="21"/>
  <c r="H200" i="21"/>
  <c r="H198" i="21"/>
  <c r="H196" i="21"/>
  <c r="H189" i="21"/>
  <c r="H187" i="21"/>
  <c r="H175" i="21"/>
  <c r="H174" i="21"/>
  <c r="H172" i="21"/>
  <c r="H167" i="21"/>
  <c r="H152" i="21"/>
  <c r="H147" i="21"/>
  <c r="H144" i="21"/>
  <c r="H141" i="21"/>
  <c r="H140" i="21"/>
  <c r="H138" i="21"/>
  <c r="H134" i="21"/>
  <c r="H131" i="21"/>
  <c r="H121" i="21"/>
  <c r="H116" i="21"/>
  <c r="H111" i="21"/>
  <c r="H108" i="21"/>
  <c r="H104" i="21"/>
  <c r="H101" i="21"/>
  <c r="H98" i="21"/>
  <c r="H95" i="21"/>
  <c r="H92" i="21"/>
  <c r="H89" i="21"/>
  <c r="H85" i="21"/>
  <c r="H82" i="21"/>
  <c r="H76" i="21"/>
  <c r="H70" i="21"/>
  <c r="H68" i="21"/>
  <c r="H65" i="21"/>
  <c r="H63" i="21"/>
  <c r="H58" i="21"/>
  <c r="H54" i="21"/>
  <c r="H47" i="21"/>
  <c r="H41" i="21"/>
  <c r="H39" i="21"/>
  <c r="H36" i="21"/>
  <c r="H31" i="21"/>
  <c r="H24" i="21"/>
  <c r="H20" i="21"/>
  <c r="H13" i="21"/>
  <c r="I557" i="20"/>
  <c r="H558" i="20"/>
  <c r="G557" i="20"/>
  <c r="G556" i="20" s="1"/>
  <c r="H14" i="20"/>
  <c r="H23" i="20"/>
  <c r="H25" i="20"/>
  <c r="H31" i="20"/>
  <c r="H42" i="20"/>
  <c r="H45" i="20"/>
  <c r="H52" i="20"/>
  <c r="H55" i="20"/>
  <c r="H58" i="20"/>
  <c r="H61" i="20"/>
  <c r="H62" i="20"/>
  <c r="H67" i="20"/>
  <c r="H70" i="20"/>
  <c r="H74" i="20"/>
  <c r="H77" i="20"/>
  <c r="H80" i="20"/>
  <c r="H83" i="20"/>
  <c r="H86" i="20"/>
  <c r="H89" i="20"/>
  <c r="H93" i="20"/>
  <c r="H96" i="20"/>
  <c r="H101" i="20"/>
  <c r="H108" i="20"/>
  <c r="H116" i="20"/>
  <c r="H126" i="20"/>
  <c r="H129" i="20"/>
  <c r="H132" i="20"/>
  <c r="H135" i="20"/>
  <c r="H138" i="20"/>
  <c r="H143" i="20"/>
  <c r="H153" i="20"/>
  <c r="H162" i="20"/>
  <c r="H165" i="20"/>
  <c r="H169" i="20"/>
  <c r="H178" i="20"/>
  <c r="H182" i="20"/>
  <c r="H187" i="20"/>
  <c r="H200" i="20"/>
  <c r="H206" i="20"/>
  <c r="H212" i="20"/>
  <c r="H224" i="20"/>
  <c r="H237" i="20"/>
  <c r="H243" i="20"/>
  <c r="H249" i="20"/>
  <c r="H256" i="20"/>
  <c r="H263" i="20"/>
  <c r="H271" i="20"/>
  <c r="H278" i="20"/>
  <c r="H295" i="20"/>
  <c r="H306" i="20"/>
  <c r="H308" i="20"/>
  <c r="H312" i="20"/>
  <c r="H322" i="20"/>
  <c r="H330" i="20"/>
  <c r="H335" i="20"/>
  <c r="H340" i="20"/>
  <c r="H342" i="20"/>
  <c r="H345" i="20"/>
  <c r="H347" i="20"/>
  <c r="H356" i="20"/>
  <c r="H359" i="20"/>
  <c r="H368" i="20"/>
  <c r="H374" i="20"/>
  <c r="H377" i="20"/>
  <c r="H380" i="20"/>
  <c r="H391" i="20"/>
  <c r="H395" i="20"/>
  <c r="H407" i="20"/>
  <c r="H410" i="20"/>
  <c r="H413" i="20"/>
  <c r="H416" i="20"/>
  <c r="H419" i="20"/>
  <c r="H422" i="20"/>
  <c r="H433" i="20"/>
  <c r="H444" i="20"/>
  <c r="H455" i="20"/>
  <c r="H458" i="20"/>
  <c r="H461" i="20"/>
  <c r="H464" i="20"/>
  <c r="H467" i="20"/>
  <c r="H470" i="20"/>
  <c r="H473" i="20"/>
  <c r="H476" i="20"/>
  <c r="H479" i="20"/>
  <c r="H485" i="20"/>
  <c r="H492" i="20"/>
  <c r="H504" i="20"/>
  <c r="H520" i="20"/>
  <c r="H523" i="20"/>
  <c r="H529" i="20"/>
  <c r="H541" i="20"/>
  <c r="H546" i="20"/>
  <c r="H549" i="20"/>
  <c r="H552" i="20"/>
  <c r="H555" i="20"/>
  <c r="H573" i="20"/>
  <c r="H579" i="20"/>
  <c r="H584" i="20"/>
  <c r="H587" i="20"/>
  <c r="H590" i="20"/>
  <c r="H593" i="20"/>
  <c r="H599" i="20"/>
  <c r="H602" i="20"/>
  <c r="H604" i="20"/>
  <c r="H611" i="20"/>
  <c r="H612" i="20"/>
  <c r="H619" i="20"/>
  <c r="H626" i="20"/>
  <c r="H629" i="20"/>
  <c r="H632" i="20"/>
  <c r="H636" i="20"/>
  <c r="H639" i="20"/>
  <c r="H642" i="20"/>
  <c r="H655" i="20"/>
  <c r="H664" i="20"/>
  <c r="H667" i="20"/>
  <c r="H673" i="20"/>
  <c r="H676" i="20"/>
  <c r="H680" i="20"/>
  <c r="H686" i="20"/>
  <c r="H689" i="20"/>
  <c r="H692" i="20"/>
  <c r="H705" i="20"/>
  <c r="H723" i="20"/>
  <c r="H726" i="20"/>
  <c r="H728" i="20"/>
  <c r="H733" i="20"/>
  <c r="H739" i="20"/>
  <c r="H752" i="20"/>
  <c r="H758" i="20"/>
  <c r="H765" i="20"/>
  <c r="H777" i="20"/>
  <c r="H778" i="20"/>
  <c r="H787" i="20"/>
  <c r="H788" i="20"/>
  <c r="H791" i="20"/>
  <c r="H792" i="20"/>
  <c r="H804" i="20"/>
  <c r="H805" i="20"/>
  <c r="H811" i="20"/>
  <c r="H812" i="20"/>
  <c r="H824" i="20"/>
  <c r="H828" i="20"/>
  <c r="H829" i="20"/>
  <c r="H838" i="20"/>
  <c r="H841" i="20"/>
  <c r="H843" i="20"/>
  <c r="H846" i="20"/>
  <c r="H848" i="20"/>
  <c r="H850" i="20"/>
  <c r="H861" i="20"/>
  <c r="H868" i="20"/>
  <c r="H871" i="20"/>
  <c r="H877" i="20"/>
  <c r="H886" i="20"/>
  <c r="H897" i="20"/>
  <c r="H903" i="20"/>
  <c r="H916" i="20"/>
  <c r="I915" i="20"/>
  <c r="I911" i="20"/>
  <c r="I902" i="20"/>
  <c r="I896" i="20"/>
  <c r="I894" i="20"/>
  <c r="I892" i="20"/>
  <c r="I885" i="20"/>
  <c r="I876" i="20"/>
  <c r="I870" i="20"/>
  <c r="I866" i="20"/>
  <c r="I860" i="20"/>
  <c r="I859" i="20"/>
  <c r="I856" i="20"/>
  <c r="I849" i="20"/>
  <c r="I847" i="20"/>
  <c r="I845" i="20"/>
  <c r="I842" i="20"/>
  <c r="I840" i="20"/>
  <c r="I837" i="20"/>
  <c r="I835" i="20"/>
  <c r="I833" i="20"/>
  <c r="I827" i="20"/>
  <c r="I810" i="20"/>
  <c r="I803" i="20"/>
  <c r="I790" i="20"/>
  <c r="I786" i="20"/>
  <c r="I776" i="20"/>
  <c r="I764" i="20"/>
  <c r="I757" i="20"/>
  <c r="I751" i="20"/>
  <c r="I750" i="20"/>
  <c r="I747" i="20"/>
  <c r="I738" i="20"/>
  <c r="I732" i="20"/>
  <c r="I727" i="20"/>
  <c r="I725" i="20"/>
  <c r="I722" i="20"/>
  <c r="I720" i="20"/>
  <c r="I712" i="20"/>
  <c r="I710" i="20"/>
  <c r="I708" i="20"/>
  <c r="I704" i="20"/>
  <c r="I703" i="20"/>
  <c r="I700" i="20"/>
  <c r="I691" i="20"/>
  <c r="I688" i="20"/>
  <c r="I685" i="20"/>
  <c r="I679" i="20"/>
  <c r="I675" i="20"/>
  <c r="I672" i="20"/>
  <c r="I666" i="20"/>
  <c r="I663" i="20"/>
  <c r="I654" i="20"/>
  <c r="I652" i="20"/>
  <c r="I641" i="20"/>
  <c r="I638" i="20"/>
  <c r="I635" i="20"/>
  <c r="I631" i="20"/>
  <c r="I628" i="20"/>
  <c r="I625" i="20"/>
  <c r="I618" i="20"/>
  <c r="I610" i="20"/>
  <c r="I603" i="20"/>
  <c r="I601" i="20"/>
  <c r="I598" i="20"/>
  <c r="I592" i="20"/>
  <c r="I589" i="20"/>
  <c r="I586" i="20"/>
  <c r="I583" i="20"/>
  <c r="I578" i="20"/>
  <c r="I572" i="20"/>
  <c r="I571" i="20"/>
  <c r="I568" i="20"/>
  <c r="I554" i="20"/>
  <c r="I551" i="20"/>
  <c r="I548" i="20"/>
  <c r="I545" i="20"/>
  <c r="I540" i="20"/>
  <c r="I528" i="20"/>
  <c r="I522" i="20"/>
  <c r="I519" i="20"/>
  <c r="I503" i="20"/>
  <c r="I502" i="20"/>
  <c r="I499" i="20"/>
  <c r="I491" i="20"/>
  <c r="I484" i="20"/>
  <c r="I481" i="20"/>
  <c r="I478" i="20"/>
  <c r="I475" i="20"/>
  <c r="I472" i="20"/>
  <c r="I469" i="20"/>
  <c r="I466" i="20"/>
  <c r="I463" i="20"/>
  <c r="I460" i="20"/>
  <c r="I457" i="20"/>
  <c r="I454" i="20"/>
  <c r="I443" i="20"/>
  <c r="I439" i="20"/>
  <c r="I432" i="20"/>
  <c r="I431" i="20"/>
  <c r="I428" i="20"/>
  <c r="L428" i="20" s="1"/>
  <c r="I421" i="20"/>
  <c r="I418" i="20"/>
  <c r="I415" i="20"/>
  <c r="I412" i="20"/>
  <c r="I409" i="20"/>
  <c r="I406" i="20"/>
  <c r="I394" i="20"/>
  <c r="I390" i="20"/>
  <c r="I387" i="20"/>
  <c r="I379" i="20"/>
  <c r="I376" i="20"/>
  <c r="I373" i="20"/>
  <c r="I367" i="20"/>
  <c r="I358" i="20"/>
  <c r="I355" i="20"/>
  <c r="I353" i="20"/>
  <c r="I351" i="20"/>
  <c r="I346" i="20"/>
  <c r="I344" i="20"/>
  <c r="I341" i="20"/>
  <c r="I339" i="20"/>
  <c r="I334" i="20"/>
  <c r="I329" i="20"/>
  <c r="I321" i="20"/>
  <c r="I311" i="20"/>
  <c r="I307" i="20"/>
  <c r="I305" i="20"/>
  <c r="I303" i="20"/>
  <c r="I294" i="20"/>
  <c r="I293" i="20"/>
  <c r="I290" i="20"/>
  <c r="I277" i="20"/>
  <c r="I270" i="20"/>
  <c r="I262" i="20"/>
  <c r="I255" i="20"/>
  <c r="I248" i="20"/>
  <c r="I242" i="20"/>
  <c r="I236" i="20"/>
  <c r="I235" i="20"/>
  <c r="I232" i="20"/>
  <c r="I223" i="20"/>
  <c r="I211" i="20"/>
  <c r="I205" i="20"/>
  <c r="I199" i="20"/>
  <c r="I197" i="20"/>
  <c r="I194" i="20"/>
  <c r="I186" i="20"/>
  <c r="I181" i="20"/>
  <c r="I177" i="20"/>
  <c r="I175" i="20"/>
  <c r="I168" i="20"/>
  <c r="I164" i="20"/>
  <c r="I161" i="20"/>
  <c r="I152" i="20"/>
  <c r="I142" i="20"/>
  <c r="I137" i="20"/>
  <c r="I134" i="20"/>
  <c r="I131" i="20"/>
  <c r="I128" i="20"/>
  <c r="I125" i="20"/>
  <c r="I115" i="20"/>
  <c r="I114" i="20"/>
  <c r="L114" i="20" s="1"/>
  <c r="I112" i="20"/>
  <c r="I107" i="20"/>
  <c r="I100" i="20"/>
  <c r="I95" i="20"/>
  <c r="I92" i="20"/>
  <c r="I88" i="20"/>
  <c r="I85" i="20"/>
  <c r="I82" i="20"/>
  <c r="I79" i="20"/>
  <c r="I76" i="20"/>
  <c r="I73" i="20"/>
  <c r="I69" i="20"/>
  <c r="I66" i="20"/>
  <c r="I60" i="20"/>
  <c r="I57" i="20"/>
  <c r="I54" i="20"/>
  <c r="I51" i="20"/>
  <c r="I50" i="20"/>
  <c r="I47" i="20"/>
  <c r="I44" i="20"/>
  <c r="I41" i="20"/>
  <c r="I39" i="20"/>
  <c r="I37" i="20"/>
  <c r="I30" i="20"/>
  <c r="I24" i="20"/>
  <c r="I22" i="20"/>
  <c r="I20" i="20"/>
  <c r="L20" i="20" s="1"/>
  <c r="I13" i="20"/>
  <c r="F350" i="8" l="1"/>
  <c r="I350" i="8" s="1"/>
  <c r="I351" i="8"/>
  <c r="F345" i="8"/>
  <c r="I345" i="8" s="1"/>
  <c r="I346" i="8"/>
  <c r="K140" i="21"/>
  <c r="K666" i="21"/>
  <c r="K453" i="21"/>
  <c r="K736" i="21"/>
  <c r="L24" i="20"/>
  <c r="L51" i="20"/>
  <c r="L79" i="20"/>
  <c r="L186" i="20"/>
  <c r="L305" i="20"/>
  <c r="L355" i="20"/>
  <c r="L466" i="20"/>
  <c r="L586" i="20"/>
  <c r="L625" i="20"/>
  <c r="L710" i="20"/>
  <c r="L764" i="20"/>
  <c r="L835" i="20"/>
  <c r="L896" i="20"/>
  <c r="L41" i="20"/>
  <c r="L128" i="20"/>
  <c r="L168" i="20"/>
  <c r="L344" i="20"/>
  <c r="L454" i="20"/>
  <c r="L478" i="20"/>
  <c r="L601" i="20"/>
  <c r="L725" i="20"/>
  <c r="L82" i="20"/>
  <c r="L152" i="20"/>
  <c r="L175" i="20"/>
  <c r="L211" i="20"/>
  <c r="L236" i="20"/>
  <c r="L307" i="20"/>
  <c r="L346" i="20"/>
  <c r="L379" i="20"/>
  <c r="L406" i="20"/>
  <c r="L418" i="20"/>
  <c r="L432" i="20"/>
  <c r="L469" i="20"/>
  <c r="L481" i="20"/>
  <c r="L572" i="20"/>
  <c r="L589" i="20"/>
  <c r="L603" i="20"/>
  <c r="L712" i="20"/>
  <c r="L727" i="20"/>
  <c r="L810" i="20"/>
  <c r="L837" i="20"/>
  <c r="L847" i="20"/>
  <c r="L860" i="20"/>
  <c r="L37" i="20"/>
  <c r="L47" i="20"/>
  <c r="L73" i="20"/>
  <c r="L85" i="20"/>
  <c r="L115" i="20"/>
  <c r="L134" i="20"/>
  <c r="L161" i="20"/>
  <c r="L177" i="20"/>
  <c r="L197" i="20"/>
  <c r="L270" i="20"/>
  <c r="L294" i="20"/>
  <c r="L339" i="20"/>
  <c r="L351" i="20"/>
  <c r="L387" i="20"/>
  <c r="L409" i="20"/>
  <c r="L421" i="20"/>
  <c r="L439" i="20"/>
  <c r="L472" i="20"/>
  <c r="L484" i="20"/>
  <c r="L503" i="20"/>
  <c r="L578" i="20"/>
  <c r="L592" i="20"/>
  <c r="L610" i="20"/>
  <c r="L631" i="20"/>
  <c r="L672" i="20"/>
  <c r="L688" i="20"/>
  <c r="L704" i="20"/>
  <c r="L720" i="20"/>
  <c r="L732" i="20"/>
  <c r="L751" i="20"/>
  <c r="L827" i="20"/>
  <c r="L849" i="20"/>
  <c r="L866" i="20"/>
  <c r="L22" i="20"/>
  <c r="L39" i="20"/>
  <c r="L76" i="20"/>
  <c r="L88" i="20"/>
  <c r="L125" i="20"/>
  <c r="L164" i="20"/>
  <c r="L181" i="20"/>
  <c r="L199" i="20"/>
  <c r="L248" i="20"/>
  <c r="L277" i="20"/>
  <c r="L341" i="20"/>
  <c r="L353" i="20"/>
  <c r="L373" i="20"/>
  <c r="L443" i="20"/>
  <c r="L491" i="20"/>
  <c r="L519" i="20"/>
  <c r="L583" i="20"/>
  <c r="L618" i="20"/>
  <c r="L675" i="20"/>
  <c r="L691" i="20"/>
  <c r="L708" i="20"/>
  <c r="L722" i="20"/>
  <c r="L790" i="20"/>
  <c r="L833" i="20"/>
  <c r="L842" i="20"/>
  <c r="L894" i="20"/>
  <c r="L915" i="20"/>
  <c r="K24" i="21"/>
  <c r="K41" i="21"/>
  <c r="K63" i="21"/>
  <c r="K76" i="21"/>
  <c r="K92" i="21"/>
  <c r="K104" i="21"/>
  <c r="K175" i="21"/>
  <c r="K198" i="21"/>
  <c r="K234" i="21"/>
  <c r="K246" i="21"/>
  <c r="K259" i="21"/>
  <c r="K273" i="21"/>
  <c r="K301" i="21"/>
  <c r="K314" i="21"/>
  <c r="K364" i="21"/>
  <c r="K391" i="21"/>
  <c r="K403" i="21"/>
  <c r="K418" i="21"/>
  <c r="K440" i="21"/>
  <c r="K457" i="21"/>
  <c r="K473" i="21"/>
  <c r="K498" i="21"/>
  <c r="K529" i="21"/>
  <c r="K552" i="21"/>
  <c r="K580" i="21"/>
  <c r="K603" i="21"/>
  <c r="K650" i="21"/>
  <c r="K677" i="21"/>
  <c r="K695" i="21"/>
  <c r="K740" i="21"/>
  <c r="K39" i="21"/>
  <c r="K70" i="21"/>
  <c r="K101" i="21"/>
  <c r="K244" i="21"/>
  <c r="K268" i="21"/>
  <c r="K311" i="21"/>
  <c r="K362" i="21"/>
  <c r="K414" i="21"/>
  <c r="K469" i="21"/>
  <c r="K516" i="21"/>
  <c r="K31" i="21"/>
  <c r="K65" i="21"/>
  <c r="K82" i="21"/>
  <c r="K108" i="21"/>
  <c r="K131" i="21"/>
  <c r="K141" i="21"/>
  <c r="K187" i="21"/>
  <c r="K200" i="21"/>
  <c r="K237" i="21"/>
  <c r="K248" i="21"/>
  <c r="K262" i="21"/>
  <c r="K277" i="21"/>
  <c r="K367" i="21"/>
  <c r="K408" i="21"/>
  <c r="K445" i="21"/>
  <c r="K557" i="21"/>
  <c r="K582" i="21"/>
  <c r="K592" i="21"/>
  <c r="K624" i="21"/>
  <c r="K653" i="21"/>
  <c r="K679" i="21"/>
  <c r="K764" i="21"/>
  <c r="K58" i="21"/>
  <c r="K89" i="21"/>
  <c r="K116" i="21"/>
  <c r="K232" i="21"/>
  <c r="K256" i="21"/>
  <c r="K331" i="21"/>
  <c r="K376" i="21"/>
  <c r="K487" i="21"/>
  <c r="K549" i="21"/>
  <c r="K631" i="21"/>
  <c r="K36" i="21"/>
  <c r="K68" i="21"/>
  <c r="K85" i="21"/>
  <c r="K144" i="21"/>
  <c r="K189" i="21"/>
  <c r="K204" i="21"/>
  <c r="K239" i="21"/>
  <c r="K251" i="21"/>
  <c r="K265" i="21"/>
  <c r="K358" i="21"/>
  <c r="K385" i="21"/>
  <c r="K397" i="21"/>
  <c r="K411" i="21"/>
  <c r="K424" i="21"/>
  <c r="K512" i="21"/>
  <c r="K584" i="21"/>
  <c r="K656" i="21"/>
  <c r="K670" i="21"/>
  <c r="K747" i="21"/>
  <c r="K753" i="21"/>
  <c r="K749" i="21"/>
  <c r="K590" i="21"/>
  <c r="H589" i="21"/>
  <c r="K587" i="21"/>
  <c r="H586" i="21"/>
  <c r="H53" i="21"/>
  <c r="K54" i="21"/>
  <c r="H171" i="21"/>
  <c r="K172" i="21"/>
  <c r="H464" i="21"/>
  <c r="K465" i="21"/>
  <c r="H482" i="21"/>
  <c r="K483" i="21"/>
  <c r="H601" i="21"/>
  <c r="K602" i="21"/>
  <c r="H668" i="21"/>
  <c r="K669" i="21"/>
  <c r="H598" i="21"/>
  <c r="K599" i="21"/>
  <c r="H19" i="21"/>
  <c r="K20" i="21"/>
  <c r="H137" i="21"/>
  <c r="K138" i="21"/>
  <c r="H173" i="21"/>
  <c r="K174" i="21"/>
  <c r="H195" i="21"/>
  <c r="K196" i="21"/>
  <c r="H467" i="21"/>
  <c r="K468" i="21"/>
  <c r="H485" i="21"/>
  <c r="K486" i="21"/>
  <c r="H324" i="21"/>
  <c r="K325" i="21"/>
  <c r="H150" i="21"/>
  <c r="K152" i="21"/>
  <c r="H455" i="21"/>
  <c r="K456" i="21"/>
  <c r="H738" i="21"/>
  <c r="K739" i="21"/>
  <c r="H146" i="21"/>
  <c r="K147" i="21"/>
  <c r="H297" i="21"/>
  <c r="K298" i="21"/>
  <c r="H542" i="21"/>
  <c r="K543" i="21"/>
  <c r="H120" i="21"/>
  <c r="K121" i="21"/>
  <c r="H218" i="21"/>
  <c r="K219" i="21"/>
  <c r="H342" i="21"/>
  <c r="K343" i="21"/>
  <c r="H378" i="21"/>
  <c r="K379" i="21"/>
  <c r="H387" i="21"/>
  <c r="K388" i="21"/>
  <c r="H399" i="21"/>
  <c r="K400" i="21"/>
  <c r="H426" i="21"/>
  <c r="K427" i="21"/>
  <c r="H561" i="21"/>
  <c r="K562" i="21"/>
  <c r="H615" i="21"/>
  <c r="K616" i="21"/>
  <c r="H685" i="21"/>
  <c r="K686" i="21"/>
  <c r="H706" i="21"/>
  <c r="K707" i="21"/>
  <c r="H429" i="21"/>
  <c r="K430" i="21"/>
  <c r="H612" i="21"/>
  <c r="K613" i="21"/>
  <c r="H698" i="21"/>
  <c r="K699" i="21"/>
  <c r="H722" i="21"/>
  <c r="K723" i="21"/>
  <c r="H46" i="21"/>
  <c r="K47" i="21"/>
  <c r="H94" i="21"/>
  <c r="K95" i="21"/>
  <c r="H166" i="21"/>
  <c r="K167" i="21"/>
  <c r="H221" i="21"/>
  <c r="K222" i="21"/>
  <c r="H303" i="21"/>
  <c r="K304" i="21"/>
  <c r="H352" i="21"/>
  <c r="K355" i="21"/>
  <c r="H573" i="21"/>
  <c r="K574" i="21"/>
  <c r="H606" i="21"/>
  <c r="K607" i="21"/>
  <c r="H658" i="21"/>
  <c r="K659" i="21"/>
  <c r="H673" i="21"/>
  <c r="K674" i="21"/>
  <c r="H690" i="21"/>
  <c r="K691" i="21"/>
  <c r="H709" i="21"/>
  <c r="K710" i="21"/>
  <c r="H213" i="21"/>
  <c r="K214" i="21"/>
  <c r="H12" i="21"/>
  <c r="K13" i="21"/>
  <c r="H97" i="21"/>
  <c r="K98" i="21"/>
  <c r="H110" i="21"/>
  <c r="K111" i="21"/>
  <c r="H133" i="21"/>
  <c r="K134" i="21"/>
  <c r="H226" i="21"/>
  <c r="K227" i="21"/>
  <c r="H279" i="21"/>
  <c r="K280" i="21"/>
  <c r="H307" i="21"/>
  <c r="K308" i="21"/>
  <c r="H326" i="21"/>
  <c r="K327" i="21"/>
  <c r="H370" i="21"/>
  <c r="K371" i="21"/>
  <c r="H381" i="21"/>
  <c r="K382" i="21"/>
  <c r="H393" i="21"/>
  <c r="K394" i="21"/>
  <c r="H420" i="21"/>
  <c r="K421" i="21"/>
  <c r="H505" i="21"/>
  <c r="K506" i="21"/>
  <c r="H535" i="21"/>
  <c r="K536" i="21"/>
  <c r="H597" i="21"/>
  <c r="H609" i="21"/>
  <c r="K610" i="21"/>
  <c r="H626" i="21"/>
  <c r="K627" i="21"/>
  <c r="H715" i="21"/>
  <c r="K716" i="21"/>
  <c r="H757" i="21"/>
  <c r="K758" i="21"/>
  <c r="I891" i="20"/>
  <c r="L892" i="20"/>
  <c r="I49" i="20"/>
  <c r="L50" i="20"/>
  <c r="I231" i="20"/>
  <c r="L232" i="20"/>
  <c r="I302" i="20"/>
  <c r="L302" i="20" s="1"/>
  <c r="L303" i="20"/>
  <c r="I567" i="20"/>
  <c r="L568" i="20"/>
  <c r="I855" i="20"/>
  <c r="L855" i="20" s="1"/>
  <c r="L856" i="20"/>
  <c r="I651" i="20"/>
  <c r="L652" i="20"/>
  <c r="I910" i="20"/>
  <c r="L910" i="20" s="1"/>
  <c r="L911" i="20"/>
  <c r="I111" i="20"/>
  <c r="L112" i="20"/>
  <c r="I234" i="20"/>
  <c r="I233" i="20" s="1"/>
  <c r="L235" i="20"/>
  <c r="I289" i="20"/>
  <c r="L290" i="20"/>
  <c r="I430" i="20"/>
  <c r="I429" i="20" s="1"/>
  <c r="L431" i="20"/>
  <c r="I498" i="20"/>
  <c r="L499" i="20"/>
  <c r="I570" i="20"/>
  <c r="L571" i="20"/>
  <c r="I699" i="20"/>
  <c r="L700" i="20"/>
  <c r="I746" i="20"/>
  <c r="I745" i="20" s="1"/>
  <c r="L747" i="20"/>
  <c r="I858" i="20"/>
  <c r="L859" i="20"/>
  <c r="I292" i="20"/>
  <c r="L293" i="20"/>
  <c r="I501" i="20"/>
  <c r="L502" i="20"/>
  <c r="I702" i="20"/>
  <c r="I701" i="20" s="1"/>
  <c r="L703" i="20"/>
  <c r="I749" i="20"/>
  <c r="L750" i="20"/>
  <c r="I56" i="20"/>
  <c r="L57" i="20"/>
  <c r="I99" i="20"/>
  <c r="L100" i="20"/>
  <c r="I222" i="20"/>
  <c r="L223" i="20"/>
  <c r="I241" i="20"/>
  <c r="L242" i="20"/>
  <c r="I310" i="20"/>
  <c r="L311" i="20"/>
  <c r="I366" i="20"/>
  <c r="L367" i="20"/>
  <c r="I539" i="20"/>
  <c r="L540" i="20"/>
  <c r="I553" i="20"/>
  <c r="L554" i="20"/>
  <c r="I785" i="20"/>
  <c r="L786" i="20"/>
  <c r="I890" i="20"/>
  <c r="I59" i="20"/>
  <c r="L60" i="20"/>
  <c r="I106" i="20"/>
  <c r="L107" i="20"/>
  <c r="I136" i="20"/>
  <c r="L137" i="20"/>
  <c r="I320" i="20"/>
  <c r="L321" i="20"/>
  <c r="I389" i="20"/>
  <c r="L390" i="20"/>
  <c r="I462" i="20"/>
  <c r="L463" i="20"/>
  <c r="I474" i="20"/>
  <c r="L475" i="20"/>
  <c r="I544" i="20"/>
  <c r="L545" i="20"/>
  <c r="I597" i="20"/>
  <c r="L598" i="20"/>
  <c r="I634" i="20"/>
  <c r="L635" i="20"/>
  <c r="I653" i="20"/>
  <c r="L654" i="20"/>
  <c r="I737" i="20"/>
  <c r="L738" i="20"/>
  <c r="I756" i="20"/>
  <c r="L757" i="20"/>
  <c r="I869" i="20"/>
  <c r="L870" i="20"/>
  <c r="I65" i="20"/>
  <c r="L66" i="20"/>
  <c r="I254" i="20"/>
  <c r="L255" i="20"/>
  <c r="I328" i="20"/>
  <c r="L329" i="20"/>
  <c r="I393" i="20"/>
  <c r="L394" i="20"/>
  <c r="I521" i="20"/>
  <c r="L522" i="20"/>
  <c r="I547" i="20"/>
  <c r="L548" i="20"/>
  <c r="I637" i="20"/>
  <c r="L638" i="20"/>
  <c r="I660" i="20"/>
  <c r="L663" i="20"/>
  <c r="I678" i="20"/>
  <c r="L679" i="20"/>
  <c r="I802" i="20"/>
  <c r="L803" i="20"/>
  <c r="I556" i="20"/>
  <c r="L557" i="20"/>
  <c r="I91" i="20"/>
  <c r="L92" i="20"/>
  <c r="I141" i="20"/>
  <c r="L142" i="20"/>
  <c r="I204" i="20"/>
  <c r="L205" i="20"/>
  <c r="I12" i="20"/>
  <c r="L13" i="20"/>
  <c r="I29" i="20"/>
  <c r="L30" i="20"/>
  <c r="I43" i="20"/>
  <c r="L44" i="20"/>
  <c r="I53" i="20"/>
  <c r="L54" i="20"/>
  <c r="I68" i="20"/>
  <c r="L69" i="20"/>
  <c r="I94" i="20"/>
  <c r="L95" i="20"/>
  <c r="I130" i="20"/>
  <c r="L131" i="20"/>
  <c r="I193" i="20"/>
  <c r="L194" i="20"/>
  <c r="I261" i="20"/>
  <c r="L262" i="20"/>
  <c r="I333" i="20"/>
  <c r="L334" i="20"/>
  <c r="I357" i="20"/>
  <c r="L358" i="20"/>
  <c r="I456" i="20"/>
  <c r="L457" i="20"/>
  <c r="I527" i="20"/>
  <c r="L528" i="20"/>
  <c r="I550" i="20"/>
  <c r="L551" i="20"/>
  <c r="I627" i="20"/>
  <c r="L628" i="20"/>
  <c r="I640" i="20"/>
  <c r="L641" i="20"/>
  <c r="I665" i="20"/>
  <c r="L666" i="20"/>
  <c r="I684" i="20"/>
  <c r="L685" i="20"/>
  <c r="I884" i="20"/>
  <c r="L885" i="20"/>
  <c r="I901" i="20"/>
  <c r="L902" i="20"/>
  <c r="I875" i="20"/>
  <c r="L876" i="20"/>
  <c r="I775" i="20"/>
  <c r="L776" i="20"/>
  <c r="H623" i="21"/>
  <c r="H655" i="21"/>
  <c r="H652" i="21"/>
  <c r="H649" i="21"/>
  <c r="I386" i="20"/>
  <c r="I372" i="20"/>
  <c r="I414" i="20"/>
  <c r="I405" i="20"/>
  <c r="H746" i="21"/>
  <c r="I174" i="20"/>
  <c r="F32" i="8"/>
  <c r="I32" i="8" s="1"/>
  <c r="F172" i="8"/>
  <c r="F339" i="8"/>
  <c r="I339" i="8" s="1"/>
  <c r="F363" i="8"/>
  <c r="F435" i="8"/>
  <c r="F663" i="8"/>
  <c r="I663" i="8" s="1"/>
  <c r="F730" i="8"/>
  <c r="F771" i="8"/>
  <c r="I771" i="8" s="1"/>
  <c r="F804" i="8"/>
  <c r="I804" i="8" s="1"/>
  <c r="F867" i="8"/>
  <c r="I867" i="8" s="1"/>
  <c r="F881" i="8"/>
  <c r="I881" i="8" s="1"/>
  <c r="F918" i="8"/>
  <c r="I918" i="8" s="1"/>
  <c r="F941" i="8"/>
  <c r="I941" i="8" s="1"/>
  <c r="F681" i="8"/>
  <c r="I681" i="8" s="1"/>
  <c r="F16" i="8"/>
  <c r="I16" i="8" s="1"/>
  <c r="F58" i="8"/>
  <c r="F107" i="8"/>
  <c r="I107" i="8" s="1"/>
  <c r="F177" i="8"/>
  <c r="I177" i="8" s="1"/>
  <c r="F251" i="8"/>
  <c r="I251" i="8" s="1"/>
  <c r="F281" i="8"/>
  <c r="F369" i="8"/>
  <c r="I369" i="8" s="1"/>
  <c r="F440" i="8"/>
  <c r="I440" i="8" s="1"/>
  <c r="F493" i="8"/>
  <c r="I493" i="8" s="1"/>
  <c r="F571" i="8"/>
  <c r="I571" i="8" s="1"/>
  <c r="F611" i="8"/>
  <c r="F648" i="8"/>
  <c r="I648" i="8" s="1"/>
  <c r="F668" i="8"/>
  <c r="I668" i="8" s="1"/>
  <c r="F704" i="8"/>
  <c r="I704" i="8" s="1"/>
  <c r="F760" i="8"/>
  <c r="I760" i="8" s="1"/>
  <c r="F777" i="8"/>
  <c r="I777" i="8" s="1"/>
  <c r="F886" i="8"/>
  <c r="I886" i="8" s="1"/>
  <c r="F952" i="8"/>
  <c r="I952" i="8" s="1"/>
  <c r="F11" i="8"/>
  <c r="I11" i="8" s="1"/>
  <c r="F102" i="8"/>
  <c r="I102" i="8" s="1"/>
  <c r="F157" i="8"/>
  <c r="I157" i="8" s="1"/>
  <c r="F214" i="8"/>
  <c r="F268" i="8"/>
  <c r="I268" i="8" s="1"/>
  <c r="F388" i="8"/>
  <c r="F469" i="8"/>
  <c r="F586" i="8"/>
  <c r="I586" i="8" s="1"/>
  <c r="F606" i="8"/>
  <c r="F643" i="8"/>
  <c r="F697" i="8"/>
  <c r="I697" i="8" s="1"/>
  <c r="F755" i="8"/>
  <c r="I755" i="8" s="1"/>
  <c r="F790" i="8"/>
  <c r="I790" i="8" s="1"/>
  <c r="F903" i="8"/>
  <c r="F22" i="8"/>
  <c r="I22" i="8" s="1"/>
  <c r="F42" i="8"/>
  <c r="I42" i="8" s="1"/>
  <c r="F114" i="8"/>
  <c r="F146" i="8"/>
  <c r="I146" i="8" s="1"/>
  <c r="F256" i="8"/>
  <c r="I256" i="8" s="1"/>
  <c r="F316" i="8"/>
  <c r="I316" i="8" s="1"/>
  <c r="F374" i="8"/>
  <c r="F445" i="8"/>
  <c r="I445" i="8" s="1"/>
  <c r="F551" i="8"/>
  <c r="F576" i="8"/>
  <c r="I576" i="8" s="1"/>
  <c r="F653" i="8"/>
  <c r="F673" i="8"/>
  <c r="I673" i="8" s="1"/>
  <c r="F710" i="8"/>
  <c r="I710" i="8" s="1"/>
  <c r="F738" i="8"/>
  <c r="I738" i="8" s="1"/>
  <c r="F829" i="8"/>
  <c r="I829" i="8" s="1"/>
  <c r="F843" i="8"/>
  <c r="I843" i="8" s="1"/>
  <c r="F857" i="8"/>
  <c r="I857" i="8" s="1"/>
  <c r="F891" i="8"/>
  <c r="I891" i="8" s="1"/>
  <c r="F931" i="8"/>
  <c r="I931" i="8" s="1"/>
  <c r="F958" i="8"/>
  <c r="I958" i="8" s="1"/>
  <c r="F71" i="8"/>
  <c r="F95" i="8"/>
  <c r="F298" i="8"/>
  <c r="F358" i="8"/>
  <c r="F401" i="8"/>
  <c r="I401" i="8" s="1"/>
  <c r="F482" i="8"/>
  <c r="F581" i="8"/>
  <c r="I581" i="8" s="1"/>
  <c r="F626" i="8"/>
  <c r="I626" i="8" s="1"/>
  <c r="F692" i="8"/>
  <c r="I692" i="8" s="1"/>
  <c r="F725" i="8"/>
  <c r="I725" i="8" s="1"/>
  <c r="F749" i="8"/>
  <c r="I749" i="8" s="1"/>
  <c r="F816" i="8"/>
  <c r="I816" i="8" s="1"/>
  <c r="F862" i="8"/>
  <c r="I862" i="8" s="1"/>
  <c r="F896" i="8"/>
  <c r="I896" i="8" s="1"/>
  <c r="F913" i="8"/>
  <c r="I913" i="8" s="1"/>
  <c r="F936" i="8"/>
  <c r="I936" i="8" s="1"/>
  <c r="F963" i="8"/>
  <c r="I963" i="8" s="1"/>
  <c r="F499" i="8"/>
  <c r="I499" i="8" s="1"/>
  <c r="F923" i="8"/>
  <c r="I923" i="8" s="1"/>
  <c r="H494" i="21"/>
  <c r="F782" i="8"/>
  <c r="I782" i="8" s="1"/>
  <c r="H127" i="21"/>
  <c r="H139" i="21"/>
  <c r="H185" i="21"/>
  <c r="H452" i="21"/>
  <c r="H665" i="21"/>
  <c r="H22" i="21"/>
  <c r="H129" i="21"/>
  <c r="H56" i="21"/>
  <c r="H735" i="21"/>
  <c r="I113" i="20"/>
  <c r="I670" i="20"/>
  <c r="I772" i="20"/>
  <c r="I326" i="20"/>
  <c r="I441" i="20"/>
  <c r="I19" i="20"/>
  <c r="I427" i="20"/>
  <c r="I913" i="20"/>
  <c r="F764" i="8"/>
  <c r="I764" i="8" s="1"/>
  <c r="F808" i="8"/>
  <c r="I808" i="8" s="1"/>
  <c r="F872" i="8"/>
  <c r="I872" i="8" s="1"/>
  <c r="I839" i="20"/>
  <c r="I453" i="20"/>
  <c r="I577" i="20"/>
  <c r="I75" i="20"/>
  <c r="I87" i="20"/>
  <c r="I167" i="20"/>
  <c r="I185" i="20"/>
  <c r="I408" i="20"/>
  <c r="I617" i="20"/>
  <c r="I690" i="20"/>
  <c r="I719" i="20"/>
  <c r="I731" i="20"/>
  <c r="I809" i="20"/>
  <c r="I84" i="20"/>
  <c r="I591" i="20"/>
  <c r="I893" i="20"/>
  <c r="I78" i="20"/>
  <c r="I133" i="20"/>
  <c r="I151" i="20"/>
  <c r="I304" i="20"/>
  <c r="I468" i="20"/>
  <c r="I477" i="20"/>
  <c r="I72" i="20"/>
  <c r="I127" i="20"/>
  <c r="I417" i="20"/>
  <c r="I21" i="20"/>
  <c r="I81" i="20"/>
  <c r="I276" i="20"/>
  <c r="I600" i="20"/>
  <c r="I789" i="20"/>
  <c r="I826" i="20"/>
  <c r="I124" i="20"/>
  <c r="I160" i="20"/>
  <c r="I210" i="20"/>
  <c r="I338" i="20"/>
  <c r="I350" i="20"/>
  <c r="I411" i="20"/>
  <c r="I420" i="20"/>
  <c r="I471" i="20"/>
  <c r="I480" i="20"/>
  <c r="I582" i="20"/>
  <c r="I624" i="20"/>
  <c r="I763" i="20"/>
  <c r="I822" i="20"/>
  <c r="I163" i="20"/>
  <c r="I247" i="20"/>
  <c r="I375" i="20"/>
  <c r="I465" i="20"/>
  <c r="I483" i="20"/>
  <c r="I518" i="20"/>
  <c r="I585" i="20"/>
  <c r="I609" i="20"/>
  <c r="I196" i="20"/>
  <c r="I269" i="20"/>
  <c r="I343" i="20"/>
  <c r="I378" i="20"/>
  <c r="I459" i="20"/>
  <c r="I490" i="20"/>
  <c r="I588" i="20"/>
  <c r="I630" i="20"/>
  <c r="I674" i="20"/>
  <c r="I687" i="20"/>
  <c r="I724" i="20"/>
  <c r="I844" i="20"/>
  <c r="H557" i="20"/>
  <c r="H38" i="21"/>
  <c r="H361" i="21"/>
  <c r="H676" i="21"/>
  <c r="H35" i="21"/>
  <c r="H258" i="21"/>
  <c r="H272" i="21"/>
  <c r="H357" i="21"/>
  <c r="H390" i="21"/>
  <c r="H511" i="21"/>
  <c r="H231" i="21"/>
  <c r="H384" i="21"/>
  <c r="H423" i="21"/>
  <c r="H444" i="21"/>
  <c r="H497" i="21"/>
  <c r="H67" i="21"/>
  <c r="H366" i="21"/>
  <c r="H548" i="21"/>
  <c r="H763" i="21"/>
  <c r="H330" i="21"/>
  <c r="H417" i="21"/>
  <c r="H81" i="21"/>
  <c r="H107" i="21"/>
  <c r="H236" i="21"/>
  <c r="H282" i="21"/>
  <c r="H313" i="21"/>
  <c r="H375" i="21"/>
  <c r="H396" i="21"/>
  <c r="H407" i="21"/>
  <c r="H62" i="21"/>
  <c r="H84" i="21"/>
  <c r="H143" i="21"/>
  <c r="H197" i="21"/>
  <c r="H276" i="21"/>
  <c r="H410" i="21"/>
  <c r="H515" i="21"/>
  <c r="H569" i="21"/>
  <c r="H75" i="21"/>
  <c r="H88" i="21"/>
  <c r="H100" i="21"/>
  <c r="H250" i="21"/>
  <c r="H264" i="21"/>
  <c r="H528" i="21"/>
  <c r="H551" i="21"/>
  <c r="H630" i="21"/>
  <c r="H30" i="21"/>
  <c r="H91" i="21"/>
  <c r="H103" i="21"/>
  <c r="H115" i="21"/>
  <c r="H203" i="21"/>
  <c r="H255" i="21"/>
  <c r="H267" i="21"/>
  <c r="H300" i="21"/>
  <c r="H310" i="21"/>
  <c r="H402" i="21"/>
  <c r="H439" i="21"/>
  <c r="H556" i="21"/>
  <c r="H243" i="21"/>
  <c r="H261" i="21"/>
  <c r="H413" i="21"/>
  <c r="H472" i="21"/>
  <c r="F631" i="8"/>
  <c r="I631" i="8" s="1"/>
  <c r="F821" i="8"/>
  <c r="I821" i="8" s="1"/>
  <c r="F834" i="8"/>
  <c r="I834" i="8" s="1"/>
  <c r="F848" i="8"/>
  <c r="I848" i="8" s="1"/>
  <c r="F206" i="8"/>
  <c r="I206" i="8" s="1"/>
  <c r="F241" i="8"/>
  <c r="I241" i="8" s="1"/>
  <c r="F337" i="8"/>
  <c r="I337" i="8" s="1"/>
  <c r="F383" i="8"/>
  <c r="I383" i="8" s="1"/>
  <c r="F64" i="8"/>
  <c r="I64" i="8" s="1"/>
  <c r="F137" i="8"/>
  <c r="I137" i="8" s="1"/>
  <c r="F152" i="8"/>
  <c r="I152" i="8" s="1"/>
  <c r="F167" i="8"/>
  <c r="I167" i="8" s="1"/>
  <c r="F187" i="8"/>
  <c r="I187" i="8" s="1"/>
  <c r="F411" i="8"/>
  <c r="I411" i="8" s="1"/>
  <c r="F53" i="8"/>
  <c r="I53" i="8" s="1"/>
  <c r="F292" i="8"/>
  <c r="I292" i="8" s="1"/>
  <c r="F276" i="8"/>
  <c r="I276" i="8" s="1"/>
  <c r="F396" i="8"/>
  <c r="I396" i="8" s="1"/>
  <c r="F422" i="8"/>
  <c r="I422" i="8" s="1"/>
  <c r="F477" i="8"/>
  <c r="I477" i="8" s="1"/>
  <c r="F530" i="8"/>
  <c r="I530" i="8" s="1"/>
  <c r="F593" i="8"/>
  <c r="I593" i="8" s="1"/>
  <c r="F27" i="8"/>
  <c r="I27" i="8" s="1"/>
  <c r="F37" i="8"/>
  <c r="I37" i="8" s="1"/>
  <c r="F47" i="8"/>
  <c r="I47" i="8" s="1"/>
  <c r="F89" i="8"/>
  <c r="I89" i="8" s="1"/>
  <c r="F201" i="8"/>
  <c r="I201" i="8" s="1"/>
  <c r="F246" i="8"/>
  <c r="I246" i="8" s="1"/>
  <c r="F261" i="8"/>
  <c r="I261" i="8" s="1"/>
  <c r="F417" i="8"/>
  <c r="I417" i="8" s="1"/>
  <c r="F512" i="8"/>
  <c r="I512" i="8" s="1"/>
  <c r="F525" i="8"/>
  <c r="I525" i="8" s="1"/>
  <c r="F598" i="8"/>
  <c r="I598" i="8" s="1"/>
  <c r="F621" i="8"/>
  <c r="I621" i="8" s="1"/>
  <c r="F638" i="8"/>
  <c r="I638" i="8" s="1"/>
  <c r="F797" i="8"/>
  <c r="I797" i="8" s="1"/>
  <c r="F219" i="8"/>
  <c r="I219" i="8" s="1"/>
  <c r="F304" i="8"/>
  <c r="I304" i="8" s="1"/>
  <c r="F406" i="8"/>
  <c r="I406" i="8" s="1"/>
  <c r="F429" i="8"/>
  <c r="I429" i="8" s="1"/>
  <c r="F520" i="8"/>
  <c r="I520" i="8" s="1"/>
  <c r="F76" i="8"/>
  <c r="I76" i="8" s="1"/>
  <c r="F121" i="8"/>
  <c r="I121" i="8" s="1"/>
  <c r="F162" i="8"/>
  <c r="I162" i="8" s="1"/>
  <c r="F182" i="8"/>
  <c r="I182" i="8" s="1"/>
  <c r="F195" i="8"/>
  <c r="I195" i="8" s="1"/>
  <c r="F309" i="8"/>
  <c r="I309" i="8" s="1"/>
  <c r="F464" i="8"/>
  <c r="I464" i="8" s="1"/>
  <c r="F487" i="8"/>
  <c r="I487" i="8" s="1"/>
  <c r="F506" i="8"/>
  <c r="I506" i="8" s="1"/>
  <c r="F535" i="8"/>
  <c r="I535" i="8" s="1"/>
  <c r="F562" i="8"/>
  <c r="I562" i="8" s="1"/>
  <c r="F128" i="8"/>
  <c r="I128" i="8" s="1"/>
  <c r="F556" i="8"/>
  <c r="I556" i="8" s="1"/>
  <c r="F658" i="8"/>
  <c r="I658" i="8" s="1"/>
  <c r="G430" i="21"/>
  <c r="H579" i="21"/>
  <c r="I36" i="20"/>
  <c r="I832" i="20"/>
  <c r="I707" i="20"/>
  <c r="F570" i="21"/>
  <c r="G570" i="21" s="1"/>
  <c r="G823" i="20"/>
  <c r="H823" i="20" s="1"/>
  <c r="F468" i="8" l="1"/>
  <c r="I468" i="8" s="1"/>
  <c r="I469" i="8"/>
  <c r="F729" i="8"/>
  <c r="I729" i="8" s="1"/>
  <c r="I730" i="8"/>
  <c r="F902" i="8"/>
  <c r="I902" i="8" s="1"/>
  <c r="I903" i="8"/>
  <c r="F642" i="8"/>
  <c r="I642" i="8" s="1"/>
  <c r="I643" i="8"/>
  <c r="F481" i="8"/>
  <c r="I481" i="8" s="1"/>
  <c r="I482" i="8"/>
  <c r="F550" i="8"/>
  <c r="I550" i="8" s="1"/>
  <c r="I551" i="8"/>
  <c r="F652" i="8"/>
  <c r="I652" i="8" s="1"/>
  <c r="I653" i="8"/>
  <c r="F605" i="8"/>
  <c r="I605" i="8" s="1"/>
  <c r="I606" i="8"/>
  <c r="F610" i="8"/>
  <c r="I610" i="8" s="1"/>
  <c r="I611" i="8"/>
  <c r="F434" i="8"/>
  <c r="I434" i="8" s="1"/>
  <c r="I435" i="8"/>
  <c r="F362" i="8"/>
  <c r="I362" i="8" s="1"/>
  <c r="I363" i="8"/>
  <c r="F357" i="8"/>
  <c r="I357" i="8" s="1"/>
  <c r="I358" i="8"/>
  <c r="F387" i="8"/>
  <c r="I387" i="8" s="1"/>
  <c r="I388" i="8"/>
  <c r="F373" i="8"/>
  <c r="I373" i="8" s="1"/>
  <c r="I374" i="8"/>
  <c r="F171" i="8"/>
  <c r="I171" i="8" s="1"/>
  <c r="I172" i="8"/>
  <c r="F297" i="8"/>
  <c r="I297" i="8" s="1"/>
  <c r="I298" i="8"/>
  <c r="F280" i="8"/>
  <c r="I280" i="8" s="1"/>
  <c r="I281" i="8"/>
  <c r="F113" i="8"/>
  <c r="I113" i="8" s="1"/>
  <c r="I114" i="8"/>
  <c r="F57" i="8"/>
  <c r="I57" i="8" s="1"/>
  <c r="I58" i="8"/>
  <c r="F94" i="8"/>
  <c r="I94" i="8" s="1"/>
  <c r="I95" i="8"/>
  <c r="F213" i="8"/>
  <c r="I213" i="8" s="1"/>
  <c r="I214" i="8"/>
  <c r="F70" i="8"/>
  <c r="I70" i="8" s="1"/>
  <c r="I71" i="8"/>
  <c r="L832" i="20"/>
  <c r="L630" i="20"/>
  <c r="L701" i="20"/>
  <c r="L163" i="20"/>
  <c r="L210" i="20"/>
  <c r="L21" i="20"/>
  <c r="L133" i="20"/>
  <c r="L690" i="20"/>
  <c r="L453" i="20"/>
  <c r="L372" i="20"/>
  <c r="L737" i="20"/>
  <c r="L634" i="20"/>
  <c r="L462" i="20"/>
  <c r="L320" i="20"/>
  <c r="L343" i="20"/>
  <c r="L465" i="20"/>
  <c r="L480" i="20"/>
  <c r="L160" i="20"/>
  <c r="L468" i="20"/>
  <c r="L617" i="20"/>
  <c r="L386" i="20"/>
  <c r="L875" i="20"/>
  <c r="L884" i="20"/>
  <c r="L665" i="20"/>
  <c r="L627" i="20"/>
  <c r="L527" i="20"/>
  <c r="L357" i="20"/>
  <c r="L130" i="20"/>
  <c r="L68" i="20"/>
  <c r="L43" i="20"/>
  <c r="L12" i="20"/>
  <c r="L678" i="20"/>
  <c r="L637" i="20"/>
  <c r="L521" i="20"/>
  <c r="L328" i="20"/>
  <c r="L65" i="20"/>
  <c r="L106" i="20"/>
  <c r="L890" i="20"/>
  <c r="L553" i="20"/>
  <c r="L241" i="20"/>
  <c r="L99" i="20"/>
  <c r="L749" i="20"/>
  <c r="L501" i="20"/>
  <c r="L858" i="20"/>
  <c r="L699" i="20"/>
  <c r="I497" i="20"/>
  <c r="L289" i="20"/>
  <c r="L111" i="20"/>
  <c r="L651" i="20"/>
  <c r="L567" i="20"/>
  <c r="L231" i="20"/>
  <c r="L891" i="20"/>
  <c r="L707" i="20"/>
  <c r="L687" i="20"/>
  <c r="L269" i="20"/>
  <c r="L585" i="20"/>
  <c r="L763" i="20"/>
  <c r="L471" i="20"/>
  <c r="L338" i="20"/>
  <c r="L124" i="20"/>
  <c r="L276" i="20"/>
  <c r="L127" i="20"/>
  <c r="L731" i="20"/>
  <c r="L408" i="20"/>
  <c r="L75" i="20"/>
  <c r="L405" i="20"/>
  <c r="L653" i="20"/>
  <c r="L597" i="20"/>
  <c r="L474" i="20"/>
  <c r="L389" i="20"/>
  <c r="L745" i="20"/>
  <c r="L378" i="20"/>
  <c r="L483" i="20"/>
  <c r="L582" i="20"/>
  <c r="L477" i="20"/>
  <c r="L84" i="20"/>
  <c r="L167" i="20"/>
  <c r="L174" i="20"/>
  <c r="L544" i="20"/>
  <c r="L36" i="20"/>
  <c r="L724" i="20"/>
  <c r="L588" i="20"/>
  <c r="L609" i="20"/>
  <c r="L822" i="20"/>
  <c r="L350" i="20"/>
  <c r="L600" i="20"/>
  <c r="L417" i="20"/>
  <c r="L78" i="20"/>
  <c r="L809" i="20"/>
  <c r="L87" i="20"/>
  <c r="L839" i="20"/>
  <c r="L556" i="20"/>
  <c r="L429" i="20"/>
  <c r="L844" i="20"/>
  <c r="L674" i="20"/>
  <c r="L518" i="20"/>
  <c r="L247" i="20"/>
  <c r="L624" i="20"/>
  <c r="L420" i="20"/>
  <c r="L233" i="20"/>
  <c r="L826" i="20"/>
  <c r="L81" i="20"/>
  <c r="L72" i="20"/>
  <c r="L151" i="20"/>
  <c r="L591" i="20"/>
  <c r="L719" i="20"/>
  <c r="L185" i="20"/>
  <c r="L577" i="20"/>
  <c r="L775" i="20"/>
  <c r="L684" i="20"/>
  <c r="L640" i="20"/>
  <c r="L550" i="20"/>
  <c r="L456" i="20"/>
  <c r="L333" i="20"/>
  <c r="L193" i="20"/>
  <c r="L94" i="20"/>
  <c r="L53" i="20"/>
  <c r="L29" i="20"/>
  <c r="L204" i="20"/>
  <c r="L91" i="20"/>
  <c r="L802" i="20"/>
  <c r="L660" i="20"/>
  <c r="L547" i="20"/>
  <c r="L393" i="20"/>
  <c r="L869" i="20"/>
  <c r="L136" i="20"/>
  <c r="L59" i="20"/>
  <c r="L785" i="20"/>
  <c r="L539" i="20"/>
  <c r="L56" i="20"/>
  <c r="L702" i="20"/>
  <c r="L292" i="20"/>
  <c r="L746" i="20"/>
  <c r="L570" i="20"/>
  <c r="L430" i="20"/>
  <c r="L234" i="20"/>
  <c r="I909" i="20"/>
  <c r="I854" i="20"/>
  <c r="I301" i="20"/>
  <c r="L49" i="20"/>
  <c r="K551" i="21"/>
  <c r="K396" i="21"/>
  <c r="K366" i="21"/>
  <c r="K35" i="21"/>
  <c r="K597" i="21"/>
  <c r="H149" i="21"/>
  <c r="K84" i="21"/>
  <c r="K413" i="21"/>
  <c r="K103" i="21"/>
  <c r="K515" i="21"/>
  <c r="K236" i="21"/>
  <c r="K423" i="21"/>
  <c r="K393" i="21"/>
  <c r="K370" i="21"/>
  <c r="K307" i="21"/>
  <c r="K110" i="21"/>
  <c r="K709" i="21"/>
  <c r="K673" i="21"/>
  <c r="K606" i="21"/>
  <c r="K221" i="21"/>
  <c r="K94" i="21"/>
  <c r="K612" i="21"/>
  <c r="K706" i="21"/>
  <c r="K615" i="21"/>
  <c r="K426" i="21"/>
  <c r="K342" i="21"/>
  <c r="K120" i="21"/>
  <c r="K297" i="21"/>
  <c r="K738" i="21"/>
  <c r="K485" i="21"/>
  <c r="K195" i="21"/>
  <c r="K137" i="21"/>
  <c r="K598" i="21"/>
  <c r="K601" i="21"/>
  <c r="K464" i="21"/>
  <c r="K53" i="21"/>
  <c r="K579" i="21"/>
  <c r="K261" i="21"/>
  <c r="K402" i="21"/>
  <c r="K255" i="21"/>
  <c r="K91" i="21"/>
  <c r="K528" i="21"/>
  <c r="K88" i="21"/>
  <c r="K410" i="21"/>
  <c r="K107" i="21"/>
  <c r="H194" i="21"/>
  <c r="H193" i="21" s="1"/>
  <c r="K67" i="21"/>
  <c r="K384" i="21"/>
  <c r="K357" i="21"/>
  <c r="K129" i="21"/>
  <c r="K652" i="21"/>
  <c r="K626" i="21"/>
  <c r="K586" i="21"/>
  <c r="H600" i="21"/>
  <c r="H484" i="21"/>
  <c r="K243" i="21"/>
  <c r="K310" i="21"/>
  <c r="K203" i="21"/>
  <c r="K30" i="21"/>
  <c r="K264" i="21"/>
  <c r="K75" i="21"/>
  <c r="K62" i="21"/>
  <c r="K313" i="21"/>
  <c r="K81" i="21"/>
  <c r="K763" i="21"/>
  <c r="K497" i="21"/>
  <c r="K231" i="21"/>
  <c r="K272" i="21"/>
  <c r="K655" i="21"/>
  <c r="K420" i="21"/>
  <c r="K381" i="21"/>
  <c r="K326" i="21"/>
  <c r="K279" i="21"/>
  <c r="K133" i="21"/>
  <c r="K97" i="21"/>
  <c r="K213" i="21"/>
  <c r="K690" i="21"/>
  <c r="K658" i="21"/>
  <c r="K573" i="21"/>
  <c r="K303" i="21"/>
  <c r="K166" i="21"/>
  <c r="K698" i="21"/>
  <c r="K429" i="21"/>
  <c r="K561" i="21"/>
  <c r="K399" i="21"/>
  <c r="K378" i="21"/>
  <c r="K218" i="21"/>
  <c r="K542" i="21"/>
  <c r="K146" i="21"/>
  <c r="K455" i="21"/>
  <c r="K324" i="21"/>
  <c r="K467" i="21"/>
  <c r="K173" i="21"/>
  <c r="K19" i="21"/>
  <c r="K668" i="21"/>
  <c r="K482" i="21"/>
  <c r="K171" i="21"/>
  <c r="K267" i="21"/>
  <c r="K100" i="21"/>
  <c r="K143" i="21"/>
  <c r="K390" i="21"/>
  <c r="K505" i="21"/>
  <c r="K226" i="21"/>
  <c r="K352" i="21"/>
  <c r="K387" i="21"/>
  <c r="K472" i="21"/>
  <c r="K556" i="21"/>
  <c r="K300" i="21"/>
  <c r="K115" i="21"/>
  <c r="K630" i="21"/>
  <c r="K250" i="21"/>
  <c r="K569" i="21"/>
  <c r="K197" i="21"/>
  <c r="K407" i="21"/>
  <c r="K282" i="21"/>
  <c r="K417" i="21"/>
  <c r="K444" i="21"/>
  <c r="K511" i="21"/>
  <c r="K258" i="21"/>
  <c r="K38" i="21"/>
  <c r="K127" i="21"/>
  <c r="K609" i="21"/>
  <c r="K589" i="21"/>
  <c r="H737" i="21"/>
  <c r="K746" i="21"/>
  <c r="H52" i="21"/>
  <c r="K375" i="21"/>
  <c r="H374" i="21"/>
  <c r="I28" i="20"/>
  <c r="I27" i="20" s="1"/>
  <c r="I801" i="20"/>
  <c r="I865" i="20"/>
  <c r="I864" i="20" s="1"/>
  <c r="I569" i="20"/>
  <c r="I46" i="20"/>
  <c r="I35" i="20" s="1"/>
  <c r="I291" i="20"/>
  <c r="I90" i="20"/>
  <c r="I203" i="20"/>
  <c r="I288" i="20"/>
  <c r="I230" i="20"/>
  <c r="I229" i="20" s="1"/>
  <c r="H702" i="21"/>
  <c r="H701" i="21" s="1"/>
  <c r="H463" i="21"/>
  <c r="I500" i="20"/>
  <c r="L498" i="20"/>
  <c r="I650" i="20"/>
  <c r="I698" i="20"/>
  <c r="I748" i="20"/>
  <c r="I744" i="20" s="1"/>
  <c r="I64" i="20"/>
  <c r="I566" i="20"/>
  <c r="I857" i="20"/>
  <c r="I526" i="20"/>
  <c r="I525" i="20" s="1"/>
  <c r="K649" i="21"/>
  <c r="H648" i="21"/>
  <c r="H667" i="21"/>
  <c r="H170" i="21"/>
  <c r="H323" i="21"/>
  <c r="H466" i="21"/>
  <c r="H454" i="21"/>
  <c r="H18" i="21"/>
  <c r="H481" i="21"/>
  <c r="K150" i="21"/>
  <c r="K548" i="21"/>
  <c r="H547" i="21"/>
  <c r="H605" i="21"/>
  <c r="G429" i="21"/>
  <c r="H689" i="21"/>
  <c r="H369" i="21"/>
  <c r="H119" i="21"/>
  <c r="H694" i="21"/>
  <c r="H622" i="21"/>
  <c r="K623" i="21"/>
  <c r="H714" i="21"/>
  <c r="K715" i="21"/>
  <c r="H534" i="21"/>
  <c r="K535" i="21"/>
  <c r="H45" i="21"/>
  <c r="K46" i="21"/>
  <c r="H684" i="21"/>
  <c r="K685" i="21"/>
  <c r="H734" i="21"/>
  <c r="K735" i="21"/>
  <c r="H664" i="21"/>
  <c r="K665" i="21"/>
  <c r="H316" i="21"/>
  <c r="H672" i="21"/>
  <c r="K676" i="21"/>
  <c r="H55" i="21"/>
  <c r="K56" i="21"/>
  <c r="H451" i="21"/>
  <c r="K452" i="21"/>
  <c r="H504" i="21"/>
  <c r="H275" i="21"/>
  <c r="K276" i="21"/>
  <c r="H329" i="21"/>
  <c r="K330" i="21"/>
  <c r="H541" i="21"/>
  <c r="H360" i="21"/>
  <c r="K361" i="21"/>
  <c r="H184" i="21"/>
  <c r="K185" i="21"/>
  <c r="H493" i="21"/>
  <c r="K494" i="21"/>
  <c r="H435" i="21"/>
  <c r="K439" i="21"/>
  <c r="H21" i="21"/>
  <c r="K22" i="21"/>
  <c r="H136" i="21"/>
  <c r="K139" i="21"/>
  <c r="H756" i="21"/>
  <c r="K757" i="21"/>
  <c r="H11" i="21"/>
  <c r="K12" i="21"/>
  <c r="H721" i="21"/>
  <c r="K722" i="21"/>
  <c r="I287" i="20"/>
  <c r="I98" i="20"/>
  <c r="I97" i="20" s="1"/>
  <c r="I883" i="20"/>
  <c r="I192" i="20"/>
  <c r="L196" i="20"/>
  <c r="I889" i="20"/>
  <c r="L893" i="20"/>
  <c r="I18" i="20"/>
  <c r="L19" i="20"/>
  <c r="I669" i="20"/>
  <c r="L670" i="20"/>
  <c r="I438" i="20"/>
  <c r="L441" i="20"/>
  <c r="I110" i="20"/>
  <c r="L113" i="20"/>
  <c r="I260" i="20"/>
  <c r="L261" i="20"/>
  <c r="I140" i="20"/>
  <c r="L141" i="20"/>
  <c r="I365" i="20"/>
  <c r="L366" i="20"/>
  <c r="I874" i="20"/>
  <c r="I677" i="20"/>
  <c r="I392" i="20"/>
  <c r="I912" i="20"/>
  <c r="L913" i="20"/>
  <c r="I325" i="20"/>
  <c r="L326" i="20"/>
  <c r="I543" i="20"/>
  <c r="I486" i="20"/>
  <c r="L490" i="20"/>
  <c r="H556" i="20"/>
  <c r="I240" i="20"/>
  <c r="I736" i="20"/>
  <c r="I300" i="20"/>
  <c r="L304" i="20"/>
  <c r="I11" i="20"/>
  <c r="I633" i="20"/>
  <c r="I426" i="20"/>
  <c r="L427" i="20"/>
  <c r="I771" i="20"/>
  <c r="L772" i="20"/>
  <c r="I659" i="20"/>
  <c r="I900" i="20"/>
  <c r="L901" i="20"/>
  <c r="I253" i="20"/>
  <c r="L254" i="20"/>
  <c r="I755" i="20"/>
  <c r="L756" i="20"/>
  <c r="I309" i="20"/>
  <c r="L310" i="20"/>
  <c r="I221" i="20"/>
  <c r="L222" i="20"/>
  <c r="I784" i="20"/>
  <c r="L789" i="20"/>
  <c r="F439" i="8"/>
  <c r="I385" i="20"/>
  <c r="F156" i="8"/>
  <c r="F444" i="8"/>
  <c r="F267" i="8"/>
  <c r="F10" i="8"/>
  <c r="I10" i="8" s="1"/>
  <c r="F368" i="8"/>
  <c r="F416" i="8"/>
  <c r="I416" i="8" s="1"/>
  <c r="F820" i="8"/>
  <c r="I820" i="8" s="1"/>
  <c r="F807" i="8"/>
  <c r="I807" i="8" s="1"/>
  <c r="F922" i="8"/>
  <c r="I922" i="8" s="1"/>
  <c r="F498" i="8"/>
  <c r="I498" i="8" s="1"/>
  <c r="F395" i="8"/>
  <c r="I395" i="8" s="1"/>
  <c r="F410" i="8"/>
  <c r="I410" i="8" s="1"/>
  <c r="F630" i="8"/>
  <c r="F781" i="8"/>
  <c r="I781" i="8" s="1"/>
  <c r="F935" i="8"/>
  <c r="I935" i="8" s="1"/>
  <c r="F895" i="8"/>
  <c r="I895" i="8" s="1"/>
  <c r="F815" i="8"/>
  <c r="I815" i="8" s="1"/>
  <c r="F724" i="8"/>
  <c r="I724" i="8" s="1"/>
  <c r="F625" i="8"/>
  <c r="I625" i="8" s="1"/>
  <c r="F957" i="8"/>
  <c r="I957" i="8" s="1"/>
  <c r="F890" i="8"/>
  <c r="I890" i="8" s="1"/>
  <c r="F842" i="8"/>
  <c r="I842" i="8" s="1"/>
  <c r="F737" i="8"/>
  <c r="I737" i="8" s="1"/>
  <c r="F672" i="8"/>
  <c r="I672" i="8" s="1"/>
  <c r="F255" i="8"/>
  <c r="I255" i="8" s="1"/>
  <c r="F21" i="8"/>
  <c r="I21" i="8" s="1"/>
  <c r="F789" i="8"/>
  <c r="I789" i="8" s="1"/>
  <c r="F696" i="8"/>
  <c r="I696" i="8" s="1"/>
  <c r="F885" i="8"/>
  <c r="I885" i="8" s="1"/>
  <c r="F759" i="8"/>
  <c r="I759" i="8" s="1"/>
  <c r="F667" i="8"/>
  <c r="I667" i="8" s="1"/>
  <c r="F492" i="8"/>
  <c r="I492" i="8" s="1"/>
  <c r="F250" i="8"/>
  <c r="I250" i="8" s="1"/>
  <c r="F917" i="8"/>
  <c r="I917" i="8" s="1"/>
  <c r="F866" i="8"/>
  <c r="I866" i="8" s="1"/>
  <c r="F770" i="8"/>
  <c r="I770" i="8" s="1"/>
  <c r="F662" i="8"/>
  <c r="I662" i="8" s="1"/>
  <c r="F405" i="8"/>
  <c r="I405" i="8" s="1"/>
  <c r="F260" i="8"/>
  <c r="I260" i="8" s="1"/>
  <c r="F847" i="8"/>
  <c r="I847" i="8" s="1"/>
  <c r="F901" i="8"/>
  <c r="I901" i="8" s="1"/>
  <c r="F763" i="8"/>
  <c r="I763" i="8" s="1"/>
  <c r="F796" i="8"/>
  <c r="I796" i="8" s="1"/>
  <c r="F245" i="8"/>
  <c r="F421" i="8"/>
  <c r="F240" i="8"/>
  <c r="I240" i="8" s="1"/>
  <c r="F833" i="8"/>
  <c r="I833" i="8" s="1"/>
  <c r="F871" i="8"/>
  <c r="I871" i="8" s="1"/>
  <c r="F962" i="8"/>
  <c r="I962" i="8" s="1"/>
  <c r="F912" i="8"/>
  <c r="I912" i="8" s="1"/>
  <c r="F861" i="8"/>
  <c r="I861" i="8" s="1"/>
  <c r="F748" i="8"/>
  <c r="I748" i="8" s="1"/>
  <c r="F691" i="8"/>
  <c r="I691" i="8" s="1"/>
  <c r="F580" i="8"/>
  <c r="I580" i="8" s="1"/>
  <c r="F400" i="8"/>
  <c r="I400" i="8" s="1"/>
  <c r="F930" i="8"/>
  <c r="I930" i="8" s="1"/>
  <c r="F856" i="8"/>
  <c r="I856" i="8" s="1"/>
  <c r="F828" i="8"/>
  <c r="I828" i="8" s="1"/>
  <c r="F709" i="8"/>
  <c r="I709" i="8" s="1"/>
  <c r="F575" i="8"/>
  <c r="I575" i="8" s="1"/>
  <c r="F315" i="8"/>
  <c r="I315" i="8" s="1"/>
  <c r="F145" i="8"/>
  <c r="I145" i="8" s="1"/>
  <c r="F41" i="8"/>
  <c r="I41" i="8" s="1"/>
  <c r="F754" i="8"/>
  <c r="I754" i="8" s="1"/>
  <c r="F585" i="8"/>
  <c r="I585" i="8" s="1"/>
  <c r="F101" i="8"/>
  <c r="I101" i="8" s="1"/>
  <c r="F951" i="8"/>
  <c r="I951" i="8" s="1"/>
  <c r="F776" i="8"/>
  <c r="I776" i="8" s="1"/>
  <c r="F703" i="8"/>
  <c r="I703" i="8" s="1"/>
  <c r="F647" i="8"/>
  <c r="I647" i="8" s="1"/>
  <c r="F570" i="8"/>
  <c r="I570" i="8" s="1"/>
  <c r="F176" i="8"/>
  <c r="I176" i="8" s="1"/>
  <c r="F15" i="8"/>
  <c r="I15" i="8" s="1"/>
  <c r="F940" i="8"/>
  <c r="I940" i="8" s="1"/>
  <c r="F880" i="8"/>
  <c r="I880" i="8" s="1"/>
  <c r="F803" i="8"/>
  <c r="I803" i="8" s="1"/>
  <c r="F31" i="8"/>
  <c r="I31" i="8" s="1"/>
  <c r="H510" i="21"/>
  <c r="H416" i="21"/>
  <c r="H212" i="21"/>
  <c r="H351" i="21"/>
  <c r="I683" i="20"/>
  <c r="H126" i="21"/>
  <c r="I156" i="20"/>
  <c r="H306" i="21"/>
  <c r="I452" i="20"/>
  <c r="I623" i="20"/>
  <c r="I404" i="20"/>
  <c r="H406" i="21"/>
  <c r="I762" i="20"/>
  <c r="I71" i="20"/>
  <c r="I268" i="20"/>
  <c r="I123" i="20"/>
  <c r="I718" i="20"/>
  <c r="I581" i="20"/>
  <c r="I821" i="20"/>
  <c r="I173" i="20"/>
  <c r="I275" i="20"/>
  <c r="I576" i="20"/>
  <c r="I246" i="20"/>
  <c r="I371" i="20"/>
  <c r="I150" i="20"/>
  <c r="I706" i="20"/>
  <c r="I831" i="20"/>
  <c r="I596" i="20"/>
  <c r="I608" i="20"/>
  <c r="I517" i="20"/>
  <c r="I349" i="20"/>
  <c r="I209" i="20"/>
  <c r="I730" i="20"/>
  <c r="I616" i="20"/>
  <c r="I184" i="20"/>
  <c r="I808" i="20"/>
  <c r="I166" i="20"/>
  <c r="H555" i="21"/>
  <c r="H578" i="21"/>
  <c r="H242" i="21"/>
  <c r="H254" i="21"/>
  <c r="H114" i="21"/>
  <c r="H527" i="21"/>
  <c r="H74" i="21"/>
  <c r="H61" i="21"/>
  <c r="H568" i="21"/>
  <c r="H80" i="21"/>
  <c r="H202" i="21"/>
  <c r="H629" i="21"/>
  <c r="H106" i="21"/>
  <c r="H443" i="21"/>
  <c r="H596" i="21"/>
  <c r="H745" i="21"/>
  <c r="H87" i="21"/>
  <c r="H296" i="21"/>
  <c r="H271" i="21"/>
  <c r="H471" i="21"/>
  <c r="H29" i="21"/>
  <c r="H762" i="21"/>
  <c r="H560" i="21"/>
  <c r="H34" i="21"/>
  <c r="F349" i="8"/>
  <c r="I349" i="8" s="1"/>
  <c r="F561" i="8"/>
  <c r="I561" i="8" s="1"/>
  <c r="F46" i="8"/>
  <c r="I46" i="8" s="1"/>
  <c r="F476" i="8"/>
  <c r="I476" i="8" s="1"/>
  <c r="F52" i="8"/>
  <c r="I52" i="8" s="1"/>
  <c r="F386" i="8"/>
  <c r="I386" i="8" s="1"/>
  <c r="F136" i="8"/>
  <c r="I136" i="8" s="1"/>
  <c r="F127" i="8"/>
  <c r="I127" i="8" s="1"/>
  <c r="F534" i="8"/>
  <c r="I534" i="8" s="1"/>
  <c r="F463" i="8"/>
  <c r="I463" i="8" s="1"/>
  <c r="F308" i="8"/>
  <c r="I308" i="8" s="1"/>
  <c r="F75" i="8"/>
  <c r="I75" i="8" s="1"/>
  <c r="F609" i="8"/>
  <c r="I609" i="8" s="1"/>
  <c r="F279" i="8"/>
  <c r="I279" i="8" s="1"/>
  <c r="F651" i="8"/>
  <c r="I651" i="8" s="1"/>
  <c r="F524" i="8"/>
  <c r="I524" i="8" s="1"/>
  <c r="F200" i="8"/>
  <c r="I200" i="8" s="1"/>
  <c r="F36" i="8"/>
  <c r="I36" i="8" s="1"/>
  <c r="F336" i="8"/>
  <c r="I336" i="8" s="1"/>
  <c r="F657" i="8"/>
  <c r="I657" i="8" s="1"/>
  <c r="F555" i="8"/>
  <c r="I555" i="8" s="1"/>
  <c r="F181" i="8"/>
  <c r="I181" i="8" s="1"/>
  <c r="F428" i="8"/>
  <c r="I428" i="8" s="1"/>
  <c r="F218" i="8"/>
  <c r="I218" i="8" s="1"/>
  <c r="F620" i="8"/>
  <c r="I620" i="8" s="1"/>
  <c r="F597" i="8"/>
  <c r="I597" i="8" s="1"/>
  <c r="F88" i="8"/>
  <c r="I88" i="8" s="1"/>
  <c r="F26" i="8"/>
  <c r="I26" i="8" s="1"/>
  <c r="F592" i="8"/>
  <c r="F480" i="8"/>
  <c r="I480" i="8" s="1"/>
  <c r="F344" i="8"/>
  <c r="I344" i="8" s="1"/>
  <c r="F186" i="8"/>
  <c r="I186" i="8" s="1"/>
  <c r="F151" i="8"/>
  <c r="I151" i="8" s="1"/>
  <c r="F63" i="8"/>
  <c r="I63" i="8" s="1"/>
  <c r="F192" i="8"/>
  <c r="I192" i="8" s="1"/>
  <c r="F486" i="8"/>
  <c r="I486" i="8" s="1"/>
  <c r="F120" i="8"/>
  <c r="I120" i="8" s="1"/>
  <c r="F519" i="8"/>
  <c r="I519" i="8" s="1"/>
  <c r="F303" i="8"/>
  <c r="I303" i="8" s="1"/>
  <c r="F637" i="8"/>
  <c r="I637" i="8" s="1"/>
  <c r="F212" i="8"/>
  <c r="I212" i="8" s="1"/>
  <c r="F170" i="8"/>
  <c r="I170" i="8" s="1"/>
  <c r="F529" i="8"/>
  <c r="I529" i="8" s="1"/>
  <c r="F275" i="8"/>
  <c r="I275" i="8" s="1"/>
  <c r="F106" i="8"/>
  <c r="I106" i="8" s="1"/>
  <c r="F291" i="8"/>
  <c r="I291" i="8" s="1"/>
  <c r="F467" i="8"/>
  <c r="I467" i="8" s="1"/>
  <c r="F382" i="8"/>
  <c r="I382" i="8" s="1"/>
  <c r="F166" i="8"/>
  <c r="I166" i="8" s="1"/>
  <c r="F161" i="8"/>
  <c r="I161" i="8" s="1"/>
  <c r="F511" i="8"/>
  <c r="I511" i="8" s="1"/>
  <c r="F505" i="8"/>
  <c r="I505" i="8" s="1"/>
  <c r="F205" i="8"/>
  <c r="I205" i="8" s="1"/>
  <c r="F56" i="8" l="1"/>
  <c r="I56" i="8" s="1"/>
  <c r="F361" i="8"/>
  <c r="I361" i="8" s="1"/>
  <c r="F549" i="8"/>
  <c r="I549" i="8" s="1"/>
  <c r="F604" i="8"/>
  <c r="I604" i="8" s="1"/>
  <c r="F112" i="8"/>
  <c r="I112" i="8" s="1"/>
  <c r="F372" i="8"/>
  <c r="I372" i="8" s="1"/>
  <c r="F93" i="8"/>
  <c r="I93" i="8" s="1"/>
  <c r="F296" i="8"/>
  <c r="I296" i="8" s="1"/>
  <c r="F728" i="8"/>
  <c r="I728" i="8" s="1"/>
  <c r="F438" i="8"/>
  <c r="I438" i="8" s="1"/>
  <c r="I439" i="8"/>
  <c r="F629" i="8"/>
  <c r="I629" i="8" s="1"/>
  <c r="I630" i="8"/>
  <c r="F443" i="8"/>
  <c r="I443" i="8" s="1"/>
  <c r="I444" i="8"/>
  <c r="F69" i="8"/>
  <c r="I69" i="8" s="1"/>
  <c r="F591" i="8"/>
  <c r="I591" i="8" s="1"/>
  <c r="I592" i="8"/>
  <c r="F641" i="8"/>
  <c r="I641" i="8" s="1"/>
  <c r="F433" i="8"/>
  <c r="I433" i="8" s="1"/>
  <c r="F356" i="8"/>
  <c r="I356" i="8" s="1"/>
  <c r="F420" i="8"/>
  <c r="I420" i="8" s="1"/>
  <c r="I421" i="8"/>
  <c r="F367" i="8"/>
  <c r="I367" i="8" s="1"/>
  <c r="I368" i="8"/>
  <c r="F244" i="8"/>
  <c r="I244" i="8" s="1"/>
  <c r="I245" i="8"/>
  <c r="F266" i="8"/>
  <c r="I266" i="8" s="1"/>
  <c r="I267" i="8"/>
  <c r="F155" i="8"/>
  <c r="I155" i="8" s="1"/>
  <c r="I156" i="8"/>
  <c r="L349" i="20"/>
  <c r="L97" i="20"/>
  <c r="L581" i="20"/>
  <c r="L404" i="20"/>
  <c r="L659" i="20"/>
  <c r="L300" i="20"/>
  <c r="L325" i="20"/>
  <c r="L192" i="20"/>
  <c r="L698" i="20"/>
  <c r="L569" i="20"/>
  <c r="L166" i="20"/>
  <c r="L517" i="20"/>
  <c r="L706" i="20"/>
  <c r="L762" i="20"/>
  <c r="L623" i="20"/>
  <c r="L784" i="20"/>
  <c r="L736" i="20"/>
  <c r="L874" i="20"/>
  <c r="L110" i="20"/>
  <c r="L566" i="20"/>
  <c r="L865" i="20"/>
  <c r="L854" i="20"/>
  <c r="L497" i="20"/>
  <c r="L808" i="20"/>
  <c r="L525" i="20"/>
  <c r="L608" i="20"/>
  <c r="L150" i="20"/>
  <c r="L27" i="20"/>
  <c r="L173" i="20"/>
  <c r="L123" i="20"/>
  <c r="L35" i="20"/>
  <c r="L11" i="20"/>
  <c r="L240" i="20"/>
  <c r="L98" i="20"/>
  <c r="L64" i="20"/>
  <c r="L230" i="20"/>
  <c r="L291" i="20"/>
  <c r="L801" i="20"/>
  <c r="L616" i="20"/>
  <c r="L831" i="20"/>
  <c r="L229" i="20"/>
  <c r="L71" i="20"/>
  <c r="L426" i="20"/>
  <c r="L677" i="20"/>
  <c r="I853" i="20"/>
  <c r="I852" i="20" s="1"/>
  <c r="I851" i="20" s="1"/>
  <c r="L203" i="20"/>
  <c r="L730" i="20"/>
  <c r="L246" i="20"/>
  <c r="L718" i="20"/>
  <c r="L309" i="20"/>
  <c r="L633" i="20"/>
  <c r="L486" i="20"/>
  <c r="L140" i="20"/>
  <c r="L669" i="20"/>
  <c r="L883" i="20"/>
  <c r="I643" i="20"/>
  <c r="L90" i="20"/>
  <c r="L184" i="20"/>
  <c r="L209" i="20"/>
  <c r="L596" i="20"/>
  <c r="L371" i="20"/>
  <c r="L576" i="20"/>
  <c r="L821" i="20"/>
  <c r="L268" i="20"/>
  <c r="L452" i="20"/>
  <c r="L755" i="20"/>
  <c r="L392" i="20"/>
  <c r="L438" i="20"/>
  <c r="L18" i="20"/>
  <c r="L287" i="20"/>
  <c r="L526" i="20"/>
  <c r="L748" i="20"/>
  <c r="I496" i="20"/>
  <c r="I495" i="20" s="1"/>
  <c r="L288" i="20"/>
  <c r="L46" i="20"/>
  <c r="L28" i="20"/>
  <c r="L301" i="20"/>
  <c r="L909" i="20"/>
  <c r="K648" i="21"/>
  <c r="K212" i="21"/>
  <c r="K664" i="21"/>
  <c r="K667" i="21"/>
  <c r="K737" i="21"/>
  <c r="K34" i="21"/>
  <c r="K471" i="21"/>
  <c r="K701" i="21"/>
  <c r="K193" i="21"/>
  <c r="K202" i="21"/>
  <c r="K74" i="21"/>
  <c r="K242" i="21"/>
  <c r="K416" i="21"/>
  <c r="K21" i="21"/>
  <c r="K493" i="21"/>
  <c r="K360" i="21"/>
  <c r="K451" i="21"/>
  <c r="K672" i="21"/>
  <c r="K694" i="21"/>
  <c r="K466" i="21"/>
  <c r="K702" i="21"/>
  <c r="K484" i="21"/>
  <c r="K194" i="21"/>
  <c r="K149" i="21"/>
  <c r="K87" i="21"/>
  <c r="K254" i="21"/>
  <c r="K689" i="21"/>
  <c r="K560" i="21"/>
  <c r="K271" i="21"/>
  <c r="K106" i="21"/>
  <c r="K80" i="21"/>
  <c r="K527" i="21"/>
  <c r="K578" i="21"/>
  <c r="K510" i="21"/>
  <c r="K541" i="21"/>
  <c r="K275" i="21"/>
  <c r="K316" i="21"/>
  <c r="K119" i="21"/>
  <c r="K605" i="21"/>
  <c r="K481" i="21"/>
  <c r="K323" i="21"/>
  <c r="K52" i="21"/>
  <c r="K600" i="21"/>
  <c r="K29" i="21"/>
  <c r="K443" i="21"/>
  <c r="K61" i="21"/>
  <c r="K329" i="21"/>
  <c r="K622" i="21"/>
  <c r="K454" i="21"/>
  <c r="K463" i="21"/>
  <c r="K762" i="21"/>
  <c r="K296" i="21"/>
  <c r="K596" i="21"/>
  <c r="K374" i="21"/>
  <c r="K568" i="21"/>
  <c r="K114" i="21"/>
  <c r="K555" i="21"/>
  <c r="K306" i="21"/>
  <c r="K351" i="21"/>
  <c r="K136" i="21"/>
  <c r="K435" i="21"/>
  <c r="K184" i="21"/>
  <c r="K504" i="21"/>
  <c r="K369" i="21"/>
  <c r="K547" i="21"/>
  <c r="K18" i="21"/>
  <c r="K170" i="21"/>
  <c r="K745" i="21"/>
  <c r="I425" i="20"/>
  <c r="I424" i="20" s="1"/>
  <c r="I139" i="20"/>
  <c r="I122" i="20" s="1"/>
  <c r="I565" i="20"/>
  <c r="I202" i="20"/>
  <c r="I286" i="20"/>
  <c r="L500" i="20"/>
  <c r="I319" i="20"/>
  <c r="L650" i="20"/>
  <c r="I191" i="20"/>
  <c r="I783" i="20"/>
  <c r="H480" i="21"/>
  <c r="H479" i="21" s="1"/>
  <c r="I697" i="20"/>
  <c r="L857" i="20"/>
  <c r="H169" i="21"/>
  <c r="H462" i="21"/>
  <c r="H461" i="21" s="1"/>
  <c r="H17" i="21"/>
  <c r="H693" i="21"/>
  <c r="H118" i="21"/>
  <c r="H540" i="21"/>
  <c r="H183" i="21"/>
  <c r="H450" i="21"/>
  <c r="H663" i="21"/>
  <c r="H492" i="21"/>
  <c r="H405" i="21"/>
  <c r="K406" i="21"/>
  <c r="H10" i="21"/>
  <c r="K11" i="21"/>
  <c r="H51" i="21"/>
  <c r="K55" i="21"/>
  <c r="H733" i="21"/>
  <c r="K734" i="21"/>
  <c r="K45" i="21"/>
  <c r="H44" i="21"/>
  <c r="H713" i="21"/>
  <c r="K714" i="21"/>
  <c r="H621" i="21"/>
  <c r="K629" i="21"/>
  <c r="H662" i="21"/>
  <c r="H125" i="21"/>
  <c r="K126" i="21"/>
  <c r="H720" i="21"/>
  <c r="K721" i="21"/>
  <c r="H755" i="21"/>
  <c r="K756" i="21"/>
  <c r="H683" i="21"/>
  <c r="K684" i="21"/>
  <c r="K534" i="21"/>
  <c r="H533" i="21"/>
  <c r="I299" i="20"/>
  <c r="I668" i="20"/>
  <c r="I873" i="20"/>
  <c r="I10" i="20"/>
  <c r="I735" i="20"/>
  <c r="I437" i="20"/>
  <c r="I882" i="20"/>
  <c r="I109" i="20"/>
  <c r="I682" i="20"/>
  <c r="L683" i="20"/>
  <c r="I542" i="20"/>
  <c r="L543" i="20"/>
  <c r="I908" i="20"/>
  <c r="L912" i="20"/>
  <c r="I274" i="20"/>
  <c r="L275" i="20"/>
  <c r="I743" i="20"/>
  <c r="L744" i="20"/>
  <c r="I384" i="20"/>
  <c r="L385" i="20"/>
  <c r="I252" i="20"/>
  <c r="L253" i="20"/>
  <c r="I888" i="20"/>
  <c r="L889" i="20"/>
  <c r="I17" i="20"/>
  <c r="I16" i="20" s="1"/>
  <c r="I155" i="20"/>
  <c r="L156" i="20"/>
  <c r="I770" i="20"/>
  <c r="L771" i="20"/>
  <c r="I239" i="20"/>
  <c r="I220" i="20"/>
  <c r="L221" i="20"/>
  <c r="I899" i="20"/>
  <c r="L900" i="20"/>
  <c r="I364" i="20"/>
  <c r="L365" i="20"/>
  <c r="I259" i="20"/>
  <c r="L260" i="20"/>
  <c r="I863" i="20"/>
  <c r="L864" i="20"/>
  <c r="F9" i="8"/>
  <c r="I9" i="8" s="1"/>
  <c r="F30" i="8"/>
  <c r="I30" i="8" s="1"/>
  <c r="F879" i="8"/>
  <c r="I879" i="8" s="1"/>
  <c r="F14" i="8"/>
  <c r="I14" i="8" s="1"/>
  <c r="F646" i="8"/>
  <c r="I646" i="8" s="1"/>
  <c r="F775" i="8"/>
  <c r="I775" i="8" s="1"/>
  <c r="F100" i="8"/>
  <c r="I100" i="8" s="1"/>
  <c r="F753" i="8"/>
  <c r="I753" i="8" s="1"/>
  <c r="F144" i="8"/>
  <c r="I144" i="8" s="1"/>
  <c r="F574" i="8"/>
  <c r="I574" i="8" s="1"/>
  <c r="F827" i="8"/>
  <c r="I827" i="8" s="1"/>
  <c r="F929" i="8"/>
  <c r="I929" i="8" s="1"/>
  <c r="F579" i="8"/>
  <c r="I579" i="8" s="1"/>
  <c r="F747" i="8"/>
  <c r="I747" i="8" s="1"/>
  <c r="F911" i="8"/>
  <c r="I911" i="8" s="1"/>
  <c r="F870" i="8"/>
  <c r="I870" i="8" s="1"/>
  <c r="F239" i="8"/>
  <c r="I239" i="8" s="1"/>
  <c r="F758" i="8"/>
  <c r="I758" i="8" s="1"/>
  <c r="F846" i="8"/>
  <c r="I846" i="8" s="1"/>
  <c r="F404" i="8"/>
  <c r="I404" i="8" s="1"/>
  <c r="F769" i="8"/>
  <c r="I769" i="8" s="1"/>
  <c r="F916" i="8"/>
  <c r="I916" i="8" s="1"/>
  <c r="F249" i="8"/>
  <c r="I249" i="8" s="1"/>
  <c r="F491" i="8"/>
  <c r="I491" i="8" s="1"/>
  <c r="F695" i="8"/>
  <c r="I695" i="8" s="1"/>
  <c r="F20" i="8"/>
  <c r="I20" i="8" s="1"/>
  <c r="F736" i="8"/>
  <c r="I736" i="8" s="1"/>
  <c r="F889" i="8"/>
  <c r="I889" i="8" s="1"/>
  <c r="F624" i="8"/>
  <c r="I624" i="8" s="1"/>
  <c r="F814" i="8"/>
  <c r="I814" i="8" s="1"/>
  <c r="F934" i="8"/>
  <c r="I934" i="8" s="1"/>
  <c r="F394" i="8"/>
  <c r="F497" i="8"/>
  <c r="I497" i="8" s="1"/>
  <c r="F802" i="8"/>
  <c r="I802" i="8" s="1"/>
  <c r="F415" i="8"/>
  <c r="F939" i="8"/>
  <c r="I939" i="8" s="1"/>
  <c r="F175" i="8"/>
  <c r="I175" i="8" s="1"/>
  <c r="F569" i="8"/>
  <c r="I569" i="8" s="1"/>
  <c r="F702" i="8"/>
  <c r="I702" i="8" s="1"/>
  <c r="F950" i="8"/>
  <c r="I950" i="8" s="1"/>
  <c r="F584" i="8"/>
  <c r="I584" i="8" s="1"/>
  <c r="F40" i="8"/>
  <c r="I40" i="8" s="1"/>
  <c r="F314" i="8"/>
  <c r="I314" i="8" s="1"/>
  <c r="F708" i="8"/>
  <c r="I708" i="8" s="1"/>
  <c r="F855" i="8"/>
  <c r="I855" i="8" s="1"/>
  <c r="F399" i="8"/>
  <c r="I399" i="8" s="1"/>
  <c r="F690" i="8"/>
  <c r="I690" i="8" s="1"/>
  <c r="F860" i="8"/>
  <c r="I860" i="8" s="1"/>
  <c r="F961" i="8"/>
  <c r="I961" i="8" s="1"/>
  <c r="F832" i="8"/>
  <c r="I832" i="8" s="1"/>
  <c r="F795" i="8"/>
  <c r="I795" i="8" s="1"/>
  <c r="F900" i="8"/>
  <c r="I900" i="8" s="1"/>
  <c r="F259" i="8"/>
  <c r="I259" i="8" s="1"/>
  <c r="F661" i="8"/>
  <c r="I661" i="8" s="1"/>
  <c r="F865" i="8"/>
  <c r="I865" i="8" s="1"/>
  <c r="F666" i="8"/>
  <c r="I666" i="8" s="1"/>
  <c r="F884" i="8"/>
  <c r="I884" i="8" s="1"/>
  <c r="F788" i="8"/>
  <c r="I788" i="8" s="1"/>
  <c r="F254" i="8"/>
  <c r="I254" i="8" s="1"/>
  <c r="F671" i="8"/>
  <c r="I671" i="8" s="1"/>
  <c r="F841" i="8"/>
  <c r="I841" i="8" s="1"/>
  <c r="F956" i="8"/>
  <c r="I956" i="8" s="1"/>
  <c r="F723" i="8"/>
  <c r="I723" i="8" s="1"/>
  <c r="F894" i="8"/>
  <c r="I894" i="8" s="1"/>
  <c r="F780" i="8"/>
  <c r="I780" i="8" s="1"/>
  <c r="F409" i="8"/>
  <c r="I409" i="8" s="1"/>
  <c r="F921" i="8"/>
  <c r="I921" i="8" s="1"/>
  <c r="F819" i="8"/>
  <c r="I819" i="8" s="1"/>
  <c r="I595" i="20"/>
  <c r="I172" i="20"/>
  <c r="I761" i="20"/>
  <c r="I754" i="20"/>
  <c r="I807" i="20"/>
  <c r="I516" i="20"/>
  <c r="I717" i="20"/>
  <c r="I267" i="20"/>
  <c r="I34" i="20"/>
  <c r="I615" i="20"/>
  <c r="I729" i="20"/>
  <c r="I348" i="20"/>
  <c r="I830" i="20"/>
  <c r="I26" i="20"/>
  <c r="I580" i="20"/>
  <c r="I607" i="20"/>
  <c r="I245" i="20"/>
  <c r="I228" i="20"/>
  <c r="I183" i="20"/>
  <c r="I208" i="20"/>
  <c r="I149" i="20"/>
  <c r="I370" i="20"/>
  <c r="I575" i="20"/>
  <c r="I63" i="20"/>
  <c r="I451" i="20"/>
  <c r="H28" i="21"/>
  <c r="H270" i="21"/>
  <c r="H744" i="21"/>
  <c r="H442" i="21"/>
  <c r="H79" i="21"/>
  <c r="H73" i="21"/>
  <c r="H113" i="21"/>
  <c r="H577" i="21"/>
  <c r="H295" i="21"/>
  <c r="H192" i="21"/>
  <c r="H60" i="21"/>
  <c r="H241" i="21"/>
  <c r="H33" i="21"/>
  <c r="H509" i="21"/>
  <c r="H761" i="21"/>
  <c r="H350" i="21"/>
  <c r="H595" i="21"/>
  <c r="H546" i="21"/>
  <c r="H554" i="21"/>
  <c r="H559" i="21"/>
  <c r="F504" i="8"/>
  <c r="I504" i="8" s="1"/>
  <c r="F191" i="8"/>
  <c r="I191" i="8" s="1"/>
  <c r="F343" i="8"/>
  <c r="I343" i="8" s="1"/>
  <c r="F466" i="8"/>
  <c r="I466" i="8" s="1"/>
  <c r="F105" i="8"/>
  <c r="I105" i="8" s="1"/>
  <c r="F211" i="8"/>
  <c r="I211" i="8" s="1"/>
  <c r="F302" i="8"/>
  <c r="I302" i="8" s="1"/>
  <c r="F180" i="8"/>
  <c r="I180" i="8" s="1"/>
  <c r="F74" i="8"/>
  <c r="I74" i="8" s="1"/>
  <c r="F462" i="8"/>
  <c r="I462" i="8" s="1"/>
  <c r="F135" i="8"/>
  <c r="I135" i="8" s="1"/>
  <c r="F51" i="8"/>
  <c r="I51" i="8" s="1"/>
  <c r="F475" i="8"/>
  <c r="I475" i="8" s="1"/>
  <c r="F518" i="8"/>
  <c r="I518" i="8" s="1"/>
  <c r="F87" i="8"/>
  <c r="I87" i="8" s="1"/>
  <c r="F554" i="8"/>
  <c r="I554" i="8" s="1"/>
  <c r="F204" i="8"/>
  <c r="I204" i="8" s="1"/>
  <c r="F290" i="8"/>
  <c r="I290" i="8" s="1"/>
  <c r="F528" i="8"/>
  <c r="I528" i="8" s="1"/>
  <c r="F62" i="8"/>
  <c r="I62" i="8" s="1"/>
  <c r="F185" i="8"/>
  <c r="I185" i="8" s="1"/>
  <c r="F25" i="8"/>
  <c r="I25" i="8" s="1"/>
  <c r="F596" i="8"/>
  <c r="I596" i="8" s="1"/>
  <c r="F427" i="8"/>
  <c r="I427" i="8" s="1"/>
  <c r="F656" i="8"/>
  <c r="I656" i="8" s="1"/>
  <c r="F35" i="8"/>
  <c r="I35" i="8" s="1"/>
  <c r="F199" i="8"/>
  <c r="I199" i="8" s="1"/>
  <c r="F533" i="8"/>
  <c r="I533" i="8" s="1"/>
  <c r="F348" i="8"/>
  <c r="I348" i="8" s="1"/>
  <c r="F150" i="8"/>
  <c r="F217" i="8"/>
  <c r="I217" i="8" s="1"/>
  <c r="F560" i="8"/>
  <c r="I560" i="8" s="1"/>
  <c r="F510" i="8"/>
  <c r="I510" i="8" s="1"/>
  <c r="F160" i="8"/>
  <c r="I160" i="8" s="1"/>
  <c r="F165" i="8"/>
  <c r="I165" i="8" s="1"/>
  <c r="F381" i="8"/>
  <c r="I381" i="8" s="1"/>
  <c r="F274" i="8"/>
  <c r="I274" i="8" s="1"/>
  <c r="F636" i="8"/>
  <c r="I636" i="8" s="1"/>
  <c r="F119" i="8"/>
  <c r="I119" i="8" s="1"/>
  <c r="F485" i="8"/>
  <c r="I485" i="8" s="1"/>
  <c r="F619" i="8"/>
  <c r="I619" i="8" s="1"/>
  <c r="F335" i="8"/>
  <c r="I335" i="8" s="1"/>
  <c r="F523" i="8"/>
  <c r="I523" i="8" s="1"/>
  <c r="F126" i="8"/>
  <c r="I126" i="8" s="1"/>
  <c r="F385" i="8"/>
  <c r="I385" i="8" s="1"/>
  <c r="F45" i="8"/>
  <c r="I45" i="8" s="1"/>
  <c r="F496" i="21"/>
  <c r="G496" i="21" s="1"/>
  <c r="F495" i="21"/>
  <c r="G495" i="21" s="1"/>
  <c r="G774" i="20"/>
  <c r="H774" i="20" s="1"/>
  <c r="G773" i="20"/>
  <c r="H773" i="20" s="1"/>
  <c r="F727" i="8" l="1"/>
  <c r="I727" i="8" s="1"/>
  <c r="F355" i="8"/>
  <c r="I355" i="8" s="1"/>
  <c r="I415" i="8"/>
  <c r="F414" i="8"/>
  <c r="F265" i="8"/>
  <c r="I265" i="8" s="1"/>
  <c r="F432" i="8"/>
  <c r="I432" i="8" s="1"/>
  <c r="I394" i="8"/>
  <c r="F393" i="8"/>
  <c r="I393" i="8" s="1"/>
  <c r="I150" i="8"/>
  <c r="L851" i="20"/>
  <c r="L607" i="20"/>
  <c r="L424" i="20"/>
  <c r="L807" i="20"/>
  <c r="L172" i="20"/>
  <c r="L495" i="20"/>
  <c r="L437" i="20"/>
  <c r="L668" i="20"/>
  <c r="L319" i="20"/>
  <c r="L565" i="20"/>
  <c r="L451" i="20"/>
  <c r="L575" i="20"/>
  <c r="L183" i="20"/>
  <c r="L580" i="20"/>
  <c r="L729" i="20"/>
  <c r="L267" i="20"/>
  <c r="L754" i="20"/>
  <c r="L16" i="20"/>
  <c r="L17" i="20"/>
  <c r="L743" i="20"/>
  <c r="L682" i="20"/>
  <c r="L735" i="20"/>
  <c r="L852" i="20"/>
  <c r="L783" i="20"/>
  <c r="L139" i="20"/>
  <c r="L643" i="20"/>
  <c r="I622" i="20"/>
  <c r="I621" i="20" s="1"/>
  <c r="L370" i="20"/>
  <c r="L228" i="20"/>
  <c r="L26" i="20"/>
  <c r="L615" i="20"/>
  <c r="L717" i="20"/>
  <c r="L761" i="20"/>
  <c r="L595" i="20"/>
  <c r="L863" i="20"/>
  <c r="L109" i="20"/>
  <c r="L10" i="20"/>
  <c r="L299" i="20"/>
  <c r="L191" i="20"/>
  <c r="L286" i="20"/>
  <c r="L425" i="20"/>
  <c r="L63" i="20"/>
  <c r="L149" i="20"/>
  <c r="L245" i="20"/>
  <c r="L830" i="20"/>
  <c r="L34" i="20"/>
  <c r="L516" i="20"/>
  <c r="L239" i="20"/>
  <c r="L155" i="20"/>
  <c r="L384" i="20"/>
  <c r="L274" i="20"/>
  <c r="L542" i="20"/>
  <c r="L882" i="20"/>
  <c r="L873" i="20"/>
  <c r="L697" i="20"/>
  <c r="L202" i="20"/>
  <c r="L496" i="20"/>
  <c r="L853" i="20"/>
  <c r="K509" i="21"/>
  <c r="K621" i="21"/>
  <c r="K405" i="21"/>
  <c r="K17" i="21"/>
  <c r="K461" i="21"/>
  <c r="K595" i="21"/>
  <c r="K33" i="21"/>
  <c r="K295" i="21"/>
  <c r="K79" i="21"/>
  <c r="K28" i="21"/>
  <c r="K755" i="21"/>
  <c r="K492" i="21"/>
  <c r="K540" i="21"/>
  <c r="K462" i="21"/>
  <c r="K480" i="21"/>
  <c r="K479" i="21"/>
  <c r="K546" i="21"/>
  <c r="K192" i="21"/>
  <c r="K73" i="21"/>
  <c r="K533" i="21"/>
  <c r="K183" i="21"/>
  <c r="K559" i="21"/>
  <c r="K577" i="21"/>
  <c r="K662" i="21"/>
  <c r="K663" i="21"/>
  <c r="K118" i="21"/>
  <c r="K169" i="21"/>
  <c r="K554" i="21"/>
  <c r="K761" i="21"/>
  <c r="K113" i="21"/>
  <c r="K744" i="21"/>
  <c r="K450" i="21"/>
  <c r="K693" i="21"/>
  <c r="I658" i="20"/>
  <c r="I657" i="20" s="1"/>
  <c r="I494" i="20"/>
  <c r="I493" i="20" s="1"/>
  <c r="I564" i="20"/>
  <c r="I881" i="20"/>
  <c r="I190" i="20"/>
  <c r="I201" i="20"/>
  <c r="I9" i="20"/>
  <c r="I696" i="20"/>
  <c r="I695" i="20" s="1"/>
  <c r="I285" i="20"/>
  <c r="I782" i="20"/>
  <c r="I298" i="20"/>
  <c r="H165" i="21"/>
  <c r="I436" i="20"/>
  <c r="I734" i="20"/>
  <c r="H16" i="21"/>
  <c r="H449" i="21"/>
  <c r="H688" i="21"/>
  <c r="H182" i="21"/>
  <c r="H539" i="21"/>
  <c r="H491" i="21"/>
  <c r="H661" i="21"/>
  <c r="H207" i="21"/>
  <c r="K241" i="21"/>
  <c r="H373" i="21"/>
  <c r="K442" i="21"/>
  <c r="H124" i="21"/>
  <c r="K125" i="21"/>
  <c r="K60" i="21"/>
  <c r="H253" i="21"/>
  <c r="K270" i="21"/>
  <c r="H682" i="21"/>
  <c r="K683" i="21"/>
  <c r="K720" i="21"/>
  <c r="H719" i="21"/>
  <c r="H712" i="21"/>
  <c r="K713" i="21"/>
  <c r="K733" i="21"/>
  <c r="H732" i="21"/>
  <c r="H9" i="21"/>
  <c r="K10" i="21"/>
  <c r="H345" i="21"/>
  <c r="K350" i="21"/>
  <c r="K44" i="21"/>
  <c r="H43" i="21"/>
  <c r="K51" i="21"/>
  <c r="H50" i="21"/>
  <c r="I238" i="20"/>
  <c r="I872" i="20"/>
  <c r="I383" i="20"/>
  <c r="I681" i="20"/>
  <c r="I105" i="20"/>
  <c r="I742" i="20"/>
  <c r="I219" i="20"/>
  <c r="L220" i="20"/>
  <c r="I314" i="20"/>
  <c r="L348" i="20"/>
  <c r="I887" i="20"/>
  <c r="L888" i="20"/>
  <c r="I258" i="20"/>
  <c r="L259" i="20"/>
  <c r="I898" i="20"/>
  <c r="L899" i="20"/>
  <c r="I207" i="20"/>
  <c r="L208" i="20"/>
  <c r="I117" i="20"/>
  <c r="L122" i="20"/>
  <c r="I363" i="20"/>
  <c r="L364" i="20"/>
  <c r="I154" i="20"/>
  <c r="L770" i="20"/>
  <c r="I769" i="20"/>
  <c r="I251" i="20"/>
  <c r="L252" i="20"/>
  <c r="L908" i="20"/>
  <c r="I907" i="20"/>
  <c r="I414" i="8"/>
  <c r="F238" i="8"/>
  <c r="I238" i="8" s="1"/>
  <c r="F8" i="8"/>
  <c r="I8" i="8" s="1"/>
  <c r="F603" i="8"/>
  <c r="I603" i="8" s="1"/>
  <c r="F68" i="8"/>
  <c r="I68" i="8" s="1"/>
  <c r="F496" i="8"/>
  <c r="I496" i="8" s="1"/>
  <c r="F813" i="8"/>
  <c r="I813" i="8" s="1"/>
  <c r="F774" i="8"/>
  <c r="I774" i="8" s="1"/>
  <c r="F722" i="8"/>
  <c r="I722" i="8" s="1"/>
  <c r="F787" i="8"/>
  <c r="I787" i="8" s="1"/>
  <c r="F701" i="8"/>
  <c r="I701" i="8" s="1"/>
  <c r="F735" i="8"/>
  <c r="I735" i="8" s="1"/>
  <c r="F490" i="8"/>
  <c r="I490" i="8" s="1"/>
  <c r="F741" i="8"/>
  <c r="I741" i="8" s="1"/>
  <c r="F928" i="8"/>
  <c r="I928" i="8" s="1"/>
  <c r="F955" i="8"/>
  <c r="I955" i="8" s="1"/>
  <c r="F707" i="8"/>
  <c r="I707" i="8" s="1"/>
  <c r="F944" i="8"/>
  <c r="I944" i="8" s="1"/>
  <c r="F92" i="8"/>
  <c r="I92" i="8" s="1"/>
  <c r="I148" i="20"/>
  <c r="I244" i="20"/>
  <c r="I806" i="20"/>
  <c r="I33" i="20"/>
  <c r="I273" i="20"/>
  <c r="I594" i="20"/>
  <c r="I820" i="20"/>
  <c r="I760" i="20"/>
  <c r="I574" i="20"/>
  <c r="I369" i="20"/>
  <c r="I227" i="20"/>
  <c r="I614" i="20"/>
  <c r="I423" i="20"/>
  <c r="I266" i="20"/>
  <c r="I716" i="20"/>
  <c r="I515" i="20"/>
  <c r="I753" i="20"/>
  <c r="I606" i="20"/>
  <c r="I171" i="20"/>
  <c r="I15" i="20"/>
  <c r="H545" i="21"/>
  <c r="H508" i="21"/>
  <c r="H460" i="21"/>
  <c r="H594" i="21"/>
  <c r="H294" i="21"/>
  <c r="H72" i="21"/>
  <c r="H743" i="21"/>
  <c r="H620" i="21"/>
  <c r="H760" i="21"/>
  <c r="H191" i="21"/>
  <c r="H27" i="21"/>
  <c r="F334" i="8"/>
  <c r="I334" i="8" s="1"/>
  <c r="F273" i="8"/>
  <c r="I273" i="8" s="1"/>
  <c r="F509" i="8"/>
  <c r="I509" i="8" s="1"/>
  <c r="F559" i="8"/>
  <c r="I559" i="8" s="1"/>
  <c r="F590" i="8"/>
  <c r="I590" i="8" s="1"/>
  <c r="F61" i="8"/>
  <c r="I61" i="8" s="1"/>
  <c r="F517" i="8"/>
  <c r="I517" i="8" s="1"/>
  <c r="F134" i="8"/>
  <c r="I134" i="8" s="1"/>
  <c r="F190" i="8"/>
  <c r="I190" i="8" s="1"/>
  <c r="F216" i="8"/>
  <c r="I216" i="8" s="1"/>
  <c r="F380" i="8"/>
  <c r="I380" i="8" s="1"/>
  <c r="F86" i="8"/>
  <c r="I86" i="8" s="1"/>
  <c r="F426" i="8"/>
  <c r="I426" i="8" s="1"/>
  <c r="F19" i="8"/>
  <c r="I19" i="8" s="1"/>
  <c r="F474" i="8"/>
  <c r="I474" i="8" s="1"/>
  <c r="F50" i="8"/>
  <c r="I50" i="8" s="1"/>
  <c r="F461" i="8"/>
  <c r="I461" i="8" s="1"/>
  <c r="F427" i="21"/>
  <c r="G554" i="20"/>
  <c r="F264" i="8" l="1"/>
  <c r="I264" i="8" s="1"/>
  <c r="L15" i="20"/>
  <c r="L574" i="20"/>
  <c r="L244" i="20"/>
  <c r="L105" i="20"/>
  <c r="L564" i="20"/>
  <c r="L171" i="20"/>
  <c r="L614" i="20"/>
  <c r="L760" i="20"/>
  <c r="L782" i="20"/>
  <c r="L201" i="20"/>
  <c r="L657" i="20"/>
  <c r="L716" i="20"/>
  <c r="L227" i="20"/>
  <c r="L820" i="20"/>
  <c r="L806" i="20"/>
  <c r="L154" i="20"/>
  <c r="L117" i="20"/>
  <c r="L898" i="20"/>
  <c r="L887" i="20"/>
  <c r="L383" i="20"/>
  <c r="L436" i="20"/>
  <c r="L285" i="20"/>
  <c r="L190" i="20"/>
  <c r="L658" i="20"/>
  <c r="L753" i="20"/>
  <c r="L423" i="20"/>
  <c r="L273" i="20"/>
  <c r="L207" i="20"/>
  <c r="L314" i="20"/>
  <c r="L238" i="20"/>
  <c r="L298" i="20"/>
  <c r="L9" i="20"/>
  <c r="L515" i="20"/>
  <c r="L33" i="20"/>
  <c r="L681" i="20"/>
  <c r="L734" i="20"/>
  <c r="L494" i="20"/>
  <c r="L606" i="20"/>
  <c r="L369" i="20"/>
  <c r="L594" i="20"/>
  <c r="L695" i="20"/>
  <c r="L621" i="20"/>
  <c r="L742" i="20"/>
  <c r="L872" i="20"/>
  <c r="L696" i="20"/>
  <c r="L881" i="20"/>
  <c r="L622" i="20"/>
  <c r="K191" i="21"/>
  <c r="K508" i="21"/>
  <c r="K345" i="21"/>
  <c r="K688" i="21"/>
  <c r="K760" i="21"/>
  <c r="K294" i="21"/>
  <c r="K545" i="21"/>
  <c r="K43" i="21"/>
  <c r="K373" i="21"/>
  <c r="K491" i="21"/>
  <c r="K449" i="21"/>
  <c r="K165" i="21"/>
  <c r="K27" i="21"/>
  <c r="K743" i="21"/>
  <c r="K460" i="21"/>
  <c r="K50" i="21"/>
  <c r="K719" i="21"/>
  <c r="K124" i="21"/>
  <c r="K207" i="21"/>
  <c r="K182" i="21"/>
  <c r="K72" i="21"/>
  <c r="K253" i="21"/>
  <c r="K661" i="21"/>
  <c r="K620" i="21"/>
  <c r="K594" i="21"/>
  <c r="K712" i="21"/>
  <c r="K682" i="21"/>
  <c r="H532" i="21"/>
  <c r="K16" i="21"/>
  <c r="H164" i="21"/>
  <c r="H163" i="21" s="1"/>
  <c r="I563" i="20"/>
  <c r="I880" i="20"/>
  <c r="L880" i="20" s="1"/>
  <c r="I189" i="20"/>
  <c r="I284" i="20"/>
  <c r="I382" i="20"/>
  <c r="I435" i="20"/>
  <c r="H15" i="21"/>
  <c r="I104" i="20"/>
  <c r="I862" i="20"/>
  <c r="K539" i="21"/>
  <c r="H448" i="21"/>
  <c r="H123" i="21"/>
  <c r="H490" i="21"/>
  <c r="H681" i="21"/>
  <c r="H647" i="21"/>
  <c r="H206" i="21"/>
  <c r="H731" i="21"/>
  <c r="K732" i="21"/>
  <c r="H8" i="21"/>
  <c r="K9" i="21"/>
  <c r="H49" i="21"/>
  <c r="I879" i="20"/>
  <c r="L907" i="20"/>
  <c r="I906" i="20"/>
  <c r="L363" i="20"/>
  <c r="I362" i="20"/>
  <c r="I265" i="20"/>
  <c r="L266" i="20"/>
  <c r="I147" i="20"/>
  <c r="L148" i="20"/>
  <c r="I250" i="20"/>
  <c r="L251" i="20"/>
  <c r="L769" i="20"/>
  <c r="I768" i="20"/>
  <c r="I257" i="20"/>
  <c r="L258" i="20"/>
  <c r="I445" i="20"/>
  <c r="L493" i="20"/>
  <c r="I218" i="20"/>
  <c r="L219" i="20"/>
  <c r="F826" i="8"/>
  <c r="F272" i="8"/>
  <c r="I272" i="8" s="1"/>
  <c r="F721" i="8"/>
  <c r="I721" i="8" s="1"/>
  <c r="F210" i="8"/>
  <c r="F425" i="8"/>
  <c r="I425" i="8" s="1"/>
  <c r="F734" i="8"/>
  <c r="I734" i="8" s="1"/>
  <c r="F7" i="8"/>
  <c r="I7" i="8" s="1"/>
  <c r="I361" i="20"/>
  <c r="I313" i="20"/>
  <c r="I170" i="20"/>
  <c r="I613" i="20"/>
  <c r="I226" i="20"/>
  <c r="I759" i="20"/>
  <c r="I32" i="20"/>
  <c r="G553" i="20"/>
  <c r="H553" i="20" s="1"/>
  <c r="H554" i="20"/>
  <c r="I656" i="20"/>
  <c r="I715" i="20"/>
  <c r="I403" i="20"/>
  <c r="I819" i="20"/>
  <c r="I694" i="20"/>
  <c r="I741" i="20"/>
  <c r="H742" i="21"/>
  <c r="H567" i="21"/>
  <c r="F426" i="21"/>
  <c r="G426" i="21" s="1"/>
  <c r="G427" i="21"/>
  <c r="H26" i="21"/>
  <c r="H619" i="21"/>
  <c r="H459" i="21"/>
  <c r="F133" i="8"/>
  <c r="I133" i="8" s="1"/>
  <c r="F589" i="8"/>
  <c r="F460" i="8"/>
  <c r="I460" i="8" s="1"/>
  <c r="F379" i="8"/>
  <c r="I379" i="8" s="1"/>
  <c r="F333" i="8"/>
  <c r="I333" i="8" s="1"/>
  <c r="F65" i="21"/>
  <c r="G65" i="21" s="1"/>
  <c r="F64" i="21"/>
  <c r="G64" i="21" s="1"/>
  <c r="G722" i="20"/>
  <c r="H722" i="20" s="1"/>
  <c r="G721" i="20"/>
  <c r="H721" i="20" s="1"/>
  <c r="F752" i="8" l="1"/>
  <c r="I752" i="8" s="1"/>
  <c r="I826" i="8"/>
  <c r="F538" i="8"/>
  <c r="I538" i="8" s="1"/>
  <c r="I589" i="8"/>
  <c r="F209" i="8"/>
  <c r="I210" i="8"/>
  <c r="L741" i="20"/>
  <c r="L715" i="20"/>
  <c r="L170" i="20"/>
  <c r="L768" i="20"/>
  <c r="L362" i="20"/>
  <c r="L189" i="20"/>
  <c r="L656" i="20"/>
  <c r="L445" i="20"/>
  <c r="L147" i="20"/>
  <c r="L226" i="20"/>
  <c r="L862" i="20"/>
  <c r="L382" i="20"/>
  <c r="L563" i="20"/>
  <c r="L32" i="20"/>
  <c r="L694" i="20"/>
  <c r="L759" i="20"/>
  <c r="L313" i="20"/>
  <c r="L879" i="20"/>
  <c r="L435" i="20"/>
  <c r="L361" i="20"/>
  <c r="L403" i="20"/>
  <c r="L613" i="20"/>
  <c r="L218" i="20"/>
  <c r="L257" i="20"/>
  <c r="L250" i="20"/>
  <c r="L265" i="20"/>
  <c r="L104" i="20"/>
  <c r="L284" i="20"/>
  <c r="K26" i="21"/>
  <c r="K49" i="21"/>
  <c r="K164" i="21"/>
  <c r="K742" i="21"/>
  <c r="K206" i="21"/>
  <c r="K448" i="21"/>
  <c r="K490" i="21"/>
  <c r="K163" i="21"/>
  <c r="H78" i="21"/>
  <c r="H7" i="21" s="1"/>
  <c r="K532" i="21"/>
  <c r="K459" i="21"/>
  <c r="K8" i="21"/>
  <c r="K647" i="21"/>
  <c r="K15" i="21"/>
  <c r="K619" i="21"/>
  <c r="K567" i="21"/>
  <c r="K681" i="21"/>
  <c r="I272" i="20"/>
  <c r="I264" i="20" s="1"/>
  <c r="I562" i="20"/>
  <c r="I524" i="20" s="1"/>
  <c r="I103" i="20"/>
  <c r="I434" i="20"/>
  <c r="K123" i="21"/>
  <c r="H177" i="21"/>
  <c r="H639" i="21"/>
  <c r="K731" i="21"/>
  <c r="H730" i="21"/>
  <c r="I905" i="20"/>
  <c r="L906" i="20"/>
  <c r="I767" i="20"/>
  <c r="L819" i="20"/>
  <c r="I188" i="20"/>
  <c r="F720" i="8"/>
  <c r="I720" i="8" s="1"/>
  <c r="F473" i="8"/>
  <c r="I473" i="8" s="1"/>
  <c r="F67" i="8"/>
  <c r="I67" i="8" s="1"/>
  <c r="I693" i="20"/>
  <c r="I714" i="20"/>
  <c r="I740" i="20"/>
  <c r="I225" i="20"/>
  <c r="I402" i="20"/>
  <c r="I8" i="20"/>
  <c r="I878" i="20"/>
  <c r="I297" i="20"/>
  <c r="H162" i="21"/>
  <c r="H447" i="21"/>
  <c r="H566" i="21"/>
  <c r="F459" i="8"/>
  <c r="I459" i="8" s="1"/>
  <c r="F332" i="8"/>
  <c r="I332" i="8" s="1"/>
  <c r="F378" i="8"/>
  <c r="I378" i="8" s="1"/>
  <c r="I209" i="8" l="1"/>
  <c r="F149" i="8"/>
  <c r="I149" i="8" s="1"/>
  <c r="L562" i="20"/>
  <c r="L402" i="20"/>
  <c r="L714" i="20"/>
  <c r="L272" i="20"/>
  <c r="L297" i="20"/>
  <c r="L225" i="20"/>
  <c r="L693" i="20"/>
  <c r="L767" i="20"/>
  <c r="L434" i="20"/>
  <c r="L8" i="20"/>
  <c r="L188" i="20"/>
  <c r="L878" i="20"/>
  <c r="L740" i="20"/>
  <c r="L264" i="20"/>
  <c r="L103" i="20"/>
  <c r="K177" i="21"/>
  <c r="K162" i="21"/>
  <c r="K566" i="21"/>
  <c r="K7" i="21"/>
  <c r="K447" i="21"/>
  <c r="K639" i="21"/>
  <c r="K78" i="21"/>
  <c r="I102" i="20"/>
  <c r="I7" i="20" s="1"/>
  <c r="H618" i="21"/>
  <c r="K730" i="21"/>
  <c r="H718" i="21"/>
  <c r="I514" i="20"/>
  <c r="L524" i="20"/>
  <c r="L905" i="20"/>
  <c r="I904" i="20"/>
  <c r="F700" i="8"/>
  <c r="I700" i="8" s="1"/>
  <c r="I381" i="20"/>
  <c r="I296" i="20"/>
  <c r="I766" i="20"/>
  <c r="I620" i="20"/>
  <c r="H293" i="21"/>
  <c r="H489" i="21"/>
  <c r="F458" i="8"/>
  <c r="I458" i="8" s="1"/>
  <c r="F377" i="8"/>
  <c r="I377" i="8" s="1"/>
  <c r="L296" i="20" l="1"/>
  <c r="L620" i="20"/>
  <c r="L904" i="20"/>
  <c r="L7" i="20"/>
  <c r="L381" i="20"/>
  <c r="L766" i="20"/>
  <c r="L514" i="20"/>
  <c r="L102" i="20"/>
  <c r="K618" i="21"/>
  <c r="K489" i="21"/>
  <c r="K718" i="21"/>
  <c r="K293" i="21"/>
  <c r="H6" i="21"/>
  <c r="I605" i="20"/>
  <c r="I360" i="20"/>
  <c r="F392" i="8"/>
  <c r="I392" i="8" s="1"/>
  <c r="F271" i="8"/>
  <c r="I271" i="8" s="1"/>
  <c r="L360" i="20" l="1"/>
  <c r="L605" i="20"/>
  <c r="K6" i="21"/>
  <c r="F6" i="8"/>
  <c r="I6" i="8" s="1"/>
  <c r="I6" i="20"/>
  <c r="G57" i="20"/>
  <c r="L6" i="20" l="1"/>
  <c r="G56" i="20"/>
  <c r="H56" i="20" s="1"/>
  <c r="H57" i="20"/>
  <c r="F237" i="21" l="1"/>
  <c r="G237" i="21" s="1"/>
  <c r="F758" i="21" l="1"/>
  <c r="F753" i="21"/>
  <c r="G753" i="21" s="1"/>
  <c r="F749" i="21"/>
  <c r="G749" i="21" s="1"/>
  <c r="F748" i="21"/>
  <c r="F740" i="21"/>
  <c r="G740" i="21" s="1"/>
  <c r="F739" i="21"/>
  <c r="F736" i="21"/>
  <c r="F723" i="21"/>
  <c r="F716" i="21"/>
  <c r="F710" i="21"/>
  <c r="F707" i="21"/>
  <c r="F699" i="21"/>
  <c r="F696" i="21"/>
  <c r="F691" i="21"/>
  <c r="F686" i="21"/>
  <c r="F679" i="21"/>
  <c r="G679" i="21" s="1"/>
  <c r="F677" i="21"/>
  <c r="G677" i="21" s="1"/>
  <c r="F674" i="21"/>
  <c r="F670" i="21"/>
  <c r="G670" i="21" s="1"/>
  <c r="F669" i="21"/>
  <c r="F666" i="21"/>
  <c r="F659" i="21"/>
  <c r="F656" i="21"/>
  <c r="F653" i="21"/>
  <c r="F650" i="21"/>
  <c r="F631" i="21"/>
  <c r="F627" i="21"/>
  <c r="F625" i="21"/>
  <c r="F536" i="21"/>
  <c r="F616" i="21"/>
  <c r="F613" i="21"/>
  <c r="F610" i="21"/>
  <c r="F607" i="21"/>
  <c r="F603" i="21"/>
  <c r="G603" i="21" s="1"/>
  <c r="F602" i="21"/>
  <c r="F599" i="21"/>
  <c r="F592" i="21"/>
  <c r="G592" i="21" s="1"/>
  <c r="F590" i="21"/>
  <c r="G590" i="21" s="1"/>
  <c r="F587" i="21"/>
  <c r="G587" i="21" s="1"/>
  <c r="F584" i="21"/>
  <c r="G584" i="21" s="1"/>
  <c r="F583" i="21"/>
  <c r="F581" i="21"/>
  <c r="F574" i="21"/>
  <c r="F569" i="21"/>
  <c r="G569" i="21" s="1"/>
  <c r="F562" i="21"/>
  <c r="F557" i="21"/>
  <c r="F552" i="21"/>
  <c r="F549" i="21"/>
  <c r="F543" i="21"/>
  <c r="F529" i="21"/>
  <c r="F516" i="21"/>
  <c r="F512" i="21"/>
  <c r="F506" i="21"/>
  <c r="F498" i="21"/>
  <c r="F494" i="21"/>
  <c r="F487" i="21"/>
  <c r="G487" i="21" s="1"/>
  <c r="F486" i="21"/>
  <c r="F483" i="21"/>
  <c r="F478" i="21"/>
  <c r="F476" i="21"/>
  <c r="F474" i="21"/>
  <c r="F469" i="21"/>
  <c r="G469" i="21" s="1"/>
  <c r="F468" i="21"/>
  <c r="F465" i="21"/>
  <c r="F457" i="21"/>
  <c r="G457" i="21" s="1"/>
  <c r="F456" i="21"/>
  <c r="F453" i="21"/>
  <c r="F445" i="21"/>
  <c r="F440" i="21"/>
  <c r="F424" i="21"/>
  <c r="F421" i="21"/>
  <c r="F418" i="21"/>
  <c r="F414" i="21"/>
  <c r="F411" i="21"/>
  <c r="F408" i="21"/>
  <c r="F403" i="21"/>
  <c r="F401" i="21"/>
  <c r="F397" i="21"/>
  <c r="F394" i="21"/>
  <c r="F391" i="21"/>
  <c r="F388" i="21"/>
  <c r="F385" i="21"/>
  <c r="F382" i="21"/>
  <c r="F379" i="21"/>
  <c r="F376" i="21"/>
  <c r="F371" i="21"/>
  <c r="F367" i="21"/>
  <c r="F364" i="21"/>
  <c r="G364" i="21" s="1"/>
  <c r="F363" i="21"/>
  <c r="F358" i="21"/>
  <c r="F355" i="21"/>
  <c r="F343" i="21"/>
  <c r="F331" i="21"/>
  <c r="F327" i="21"/>
  <c r="F325" i="21"/>
  <c r="F314" i="21"/>
  <c r="F311" i="21"/>
  <c r="F308" i="21"/>
  <c r="F304" i="21"/>
  <c r="F301" i="21"/>
  <c r="F298" i="21"/>
  <c r="F283" i="21"/>
  <c r="F277" i="21"/>
  <c r="F280" i="21"/>
  <c r="F273" i="21"/>
  <c r="F268" i="21"/>
  <c r="F265" i="21"/>
  <c r="F262" i="21"/>
  <c r="F259" i="21"/>
  <c r="F256" i="21"/>
  <c r="F251" i="21"/>
  <c r="F248" i="21"/>
  <c r="G248" i="21" s="1"/>
  <c r="F247" i="21"/>
  <c r="F245" i="21"/>
  <c r="F239" i="21"/>
  <c r="G239" i="21" s="1"/>
  <c r="F234" i="21"/>
  <c r="G234" i="21" s="1"/>
  <c r="F232" i="21"/>
  <c r="G232" i="21" s="1"/>
  <c r="F227" i="21"/>
  <c r="F222" i="21"/>
  <c r="F220" i="21"/>
  <c r="F214" i="21"/>
  <c r="F204" i="21"/>
  <c r="F200" i="21"/>
  <c r="G200" i="21" s="1"/>
  <c r="F198" i="21"/>
  <c r="G198" i="21" s="1"/>
  <c r="F196" i="21"/>
  <c r="F189" i="21"/>
  <c r="G189" i="21" s="1"/>
  <c r="F188" i="21"/>
  <c r="F186" i="21"/>
  <c r="F175" i="21"/>
  <c r="G175" i="21" s="1"/>
  <c r="F174" i="21"/>
  <c r="F172" i="21"/>
  <c r="F167" i="21"/>
  <c r="F152" i="21"/>
  <c r="G152" i="21" s="1"/>
  <c r="F151" i="21"/>
  <c r="G151" i="21" s="1"/>
  <c r="F147" i="21"/>
  <c r="F144" i="21"/>
  <c r="F141" i="21"/>
  <c r="G141" i="21" s="1"/>
  <c r="F140" i="21"/>
  <c r="F138" i="21"/>
  <c r="F134" i="21"/>
  <c r="F131" i="21"/>
  <c r="G131" i="21" s="1"/>
  <c r="F130" i="21"/>
  <c r="F128" i="21"/>
  <c r="F121" i="21"/>
  <c r="F116" i="21"/>
  <c r="F111" i="21"/>
  <c r="F108" i="21"/>
  <c r="F104" i="21"/>
  <c r="F101" i="21"/>
  <c r="F98" i="21"/>
  <c r="F95" i="21"/>
  <c r="F92" i="21"/>
  <c r="F89" i="21"/>
  <c r="F85" i="21"/>
  <c r="F82" i="21"/>
  <c r="F76" i="21"/>
  <c r="F57" i="21"/>
  <c r="G57" i="21" s="1"/>
  <c r="F54" i="21"/>
  <c r="G54" i="21" s="1"/>
  <c r="F31" i="21"/>
  <c r="F24" i="21"/>
  <c r="G24" i="21" s="1"/>
  <c r="F23" i="21"/>
  <c r="F20" i="21"/>
  <c r="F13" i="21"/>
  <c r="G914" i="20"/>
  <c r="G911" i="20"/>
  <c r="G895" i="20"/>
  <c r="G892" i="20"/>
  <c r="H892" i="20" s="1"/>
  <c r="G915" i="20"/>
  <c r="H915" i="20" s="1"/>
  <c r="G896" i="20"/>
  <c r="H896" i="20" s="1"/>
  <c r="G859" i="20"/>
  <c r="G856" i="20"/>
  <c r="H856" i="20" s="1"/>
  <c r="G836" i="20"/>
  <c r="H836" i="20" s="1"/>
  <c r="G834" i="20"/>
  <c r="H834" i="20" s="1"/>
  <c r="G876" i="20"/>
  <c r="G867" i="20"/>
  <c r="H867" i="20" s="1"/>
  <c r="G860" i="20"/>
  <c r="G847" i="20"/>
  <c r="G750" i="20"/>
  <c r="H750" i="20" s="1"/>
  <c r="G747" i="20"/>
  <c r="H747" i="20" s="1"/>
  <c r="G764" i="20"/>
  <c r="H764" i="20" s="1"/>
  <c r="G738" i="20"/>
  <c r="H738" i="20" s="1"/>
  <c r="G652" i="20"/>
  <c r="H652" i="20" s="1"/>
  <c r="G711" i="20"/>
  <c r="H711" i="20" s="1"/>
  <c r="G713" i="20"/>
  <c r="H713" i="20" s="1"/>
  <c r="G709" i="20"/>
  <c r="H709" i="20" s="1"/>
  <c r="G703" i="20"/>
  <c r="H703" i="20" s="1"/>
  <c r="G700" i="20"/>
  <c r="H700" i="20" s="1"/>
  <c r="G672" i="20"/>
  <c r="H672" i="20" s="1"/>
  <c r="G671" i="20"/>
  <c r="H671" i="20" s="1"/>
  <c r="G663" i="20"/>
  <c r="H663" i="20" s="1"/>
  <c r="G571" i="20"/>
  <c r="H571" i="20" s="1"/>
  <c r="G568" i="20"/>
  <c r="H568" i="20" s="1"/>
  <c r="G502" i="20"/>
  <c r="H502" i="20" s="1"/>
  <c r="G499" i="20"/>
  <c r="H499" i="20" s="1"/>
  <c r="G482" i="20"/>
  <c r="H482" i="20" s="1"/>
  <c r="G442" i="20"/>
  <c r="H442" i="20" s="1"/>
  <c r="G440" i="20"/>
  <c r="H440" i="20" s="1"/>
  <c r="G431" i="20"/>
  <c r="H431" i="20" s="1"/>
  <c r="G428" i="20"/>
  <c r="H428" i="20" s="1"/>
  <c r="G388" i="20"/>
  <c r="H388" i="20" s="1"/>
  <c r="G354" i="20"/>
  <c r="H354" i="20" s="1"/>
  <c r="G352" i="20"/>
  <c r="H352" i="20" s="1"/>
  <c r="G327" i="20"/>
  <c r="H327" i="20" s="1"/>
  <c r="G303" i="20"/>
  <c r="H303" i="20" s="1"/>
  <c r="G293" i="20"/>
  <c r="H293" i="20" s="1"/>
  <c r="G290" i="20"/>
  <c r="H290" i="20" s="1"/>
  <c r="F244" i="21" l="1"/>
  <c r="G244" i="21" s="1"/>
  <c r="G245" i="21"/>
  <c r="F464" i="21"/>
  <c r="F463" i="21" s="1"/>
  <c r="G463" i="21" s="1"/>
  <c r="G465" i="21"/>
  <c r="F475" i="21"/>
  <c r="G475" i="21" s="1"/>
  <c r="G476" i="21"/>
  <c r="F735" i="21"/>
  <c r="F734" i="21" s="1"/>
  <c r="G736" i="21"/>
  <c r="F19" i="21"/>
  <c r="G19" i="21" s="1"/>
  <c r="G20" i="21"/>
  <c r="F185" i="21"/>
  <c r="G185" i="21" s="1"/>
  <c r="G186" i="21"/>
  <c r="F127" i="21"/>
  <c r="G127" i="21" s="1"/>
  <c r="G128" i="21"/>
  <c r="F137" i="21"/>
  <c r="G137" i="21" s="1"/>
  <c r="G138" i="21"/>
  <c r="F171" i="21"/>
  <c r="G171" i="21" s="1"/>
  <c r="G172" i="21"/>
  <c r="F187" i="21"/>
  <c r="G187" i="21" s="1"/>
  <c r="G188" i="21"/>
  <c r="F246" i="21"/>
  <c r="G246" i="21" s="1"/>
  <c r="G247" i="21"/>
  <c r="F452" i="21"/>
  <c r="F451" i="21" s="1"/>
  <c r="G451" i="21" s="1"/>
  <c r="G453" i="21"/>
  <c r="F467" i="21"/>
  <c r="G467" i="21" s="1"/>
  <c r="G468" i="21"/>
  <c r="F477" i="21"/>
  <c r="G477" i="21" s="1"/>
  <c r="G478" i="21"/>
  <c r="F580" i="21"/>
  <c r="G580" i="21" s="1"/>
  <c r="G581" i="21"/>
  <c r="F598" i="21"/>
  <c r="F597" i="21" s="1"/>
  <c r="G597" i="21" s="1"/>
  <c r="G599" i="21"/>
  <c r="F624" i="21"/>
  <c r="F623" i="21" s="1"/>
  <c r="G623" i="21" s="1"/>
  <c r="G625" i="21"/>
  <c r="F738" i="21"/>
  <c r="G738" i="21" s="1"/>
  <c r="G739" i="21"/>
  <c r="F139" i="21"/>
  <c r="G139" i="21" s="1"/>
  <c r="G140" i="21"/>
  <c r="F173" i="21"/>
  <c r="G173" i="21" s="1"/>
  <c r="G174" i="21"/>
  <c r="F362" i="21"/>
  <c r="G362" i="21" s="1"/>
  <c r="G363" i="21"/>
  <c r="F455" i="21"/>
  <c r="G455" i="21" s="1"/>
  <c r="G456" i="21"/>
  <c r="F482" i="21"/>
  <c r="F481" i="21" s="1"/>
  <c r="G481" i="21" s="1"/>
  <c r="G483" i="21"/>
  <c r="F582" i="21"/>
  <c r="G582" i="21" s="1"/>
  <c r="G583" i="21"/>
  <c r="F601" i="21"/>
  <c r="G601" i="21" s="1"/>
  <c r="G602" i="21"/>
  <c r="F665" i="21"/>
  <c r="G665" i="21" s="1"/>
  <c r="G666" i="21"/>
  <c r="F129" i="21"/>
  <c r="G129" i="21" s="1"/>
  <c r="G130" i="21"/>
  <c r="F219" i="21"/>
  <c r="G219" i="21" s="1"/>
  <c r="G220" i="21"/>
  <c r="F22" i="21"/>
  <c r="G22" i="21" s="1"/>
  <c r="G23" i="21"/>
  <c r="F195" i="21"/>
  <c r="F194" i="21" s="1"/>
  <c r="G194" i="21" s="1"/>
  <c r="G196" i="21"/>
  <c r="F324" i="21"/>
  <c r="F323" i="21" s="1"/>
  <c r="G323" i="21" s="1"/>
  <c r="G325" i="21"/>
  <c r="F400" i="21"/>
  <c r="F399" i="21" s="1"/>
  <c r="G399" i="21" s="1"/>
  <c r="G401" i="21"/>
  <c r="F473" i="21"/>
  <c r="G473" i="21" s="1"/>
  <c r="G474" i="21"/>
  <c r="F485" i="21"/>
  <c r="G485" i="21" s="1"/>
  <c r="G486" i="21"/>
  <c r="F668" i="21"/>
  <c r="G668" i="21" s="1"/>
  <c r="G669" i="21"/>
  <c r="F747" i="21"/>
  <c r="G747" i="21" s="1"/>
  <c r="G748" i="21"/>
  <c r="G913" i="20"/>
  <c r="H913" i="20" s="1"/>
  <c r="H914" i="20"/>
  <c r="G858" i="20"/>
  <c r="H858" i="20" s="1"/>
  <c r="H859" i="20"/>
  <c r="G894" i="20"/>
  <c r="H894" i="20" s="1"/>
  <c r="H895" i="20"/>
  <c r="G910" i="20"/>
  <c r="H910" i="20" s="1"/>
  <c r="H911" i="20"/>
  <c r="G870" i="20"/>
  <c r="H870" i="20" s="1"/>
  <c r="H876" i="20"/>
  <c r="G842" i="20"/>
  <c r="H842" i="20" s="1"/>
  <c r="H847" i="20"/>
  <c r="G902" i="20"/>
  <c r="H902" i="20" s="1"/>
  <c r="G837" i="20"/>
  <c r="H860" i="20"/>
  <c r="F75" i="21"/>
  <c r="G75" i="21" s="1"/>
  <c r="G76" i="21"/>
  <c r="F91" i="21"/>
  <c r="G91" i="21" s="1"/>
  <c r="G92" i="21"/>
  <c r="F103" i="21"/>
  <c r="G103" i="21" s="1"/>
  <c r="G104" i="21"/>
  <c r="F120" i="21"/>
  <c r="G121" i="21"/>
  <c r="F133" i="21"/>
  <c r="G133" i="21" s="1"/>
  <c r="G134" i="21"/>
  <c r="F143" i="21"/>
  <c r="G143" i="21" s="1"/>
  <c r="G144" i="21"/>
  <c r="F166" i="21"/>
  <c r="G166" i="21" s="1"/>
  <c r="G167" i="21"/>
  <c r="F226" i="21"/>
  <c r="G226" i="21" s="1"/>
  <c r="G227" i="21"/>
  <c r="F255" i="21"/>
  <c r="G255" i="21" s="1"/>
  <c r="G256" i="21"/>
  <c r="F267" i="21"/>
  <c r="G267" i="21" s="1"/>
  <c r="G268" i="21"/>
  <c r="F282" i="21"/>
  <c r="G282" i="21" s="1"/>
  <c r="G283" i="21"/>
  <c r="F307" i="21"/>
  <c r="G307" i="21" s="1"/>
  <c r="G308" i="21"/>
  <c r="F326" i="21"/>
  <c r="G326" i="21" s="1"/>
  <c r="G327" i="21"/>
  <c r="F366" i="21"/>
  <c r="G366" i="21" s="1"/>
  <c r="G367" i="21"/>
  <c r="F390" i="21"/>
  <c r="G390" i="21" s="1"/>
  <c r="G391" i="21"/>
  <c r="F402" i="21"/>
  <c r="G402" i="21" s="1"/>
  <c r="G403" i="21"/>
  <c r="F417" i="21"/>
  <c r="G418" i="21"/>
  <c r="F444" i="21"/>
  <c r="G445" i="21"/>
  <c r="F505" i="21"/>
  <c r="G506" i="21"/>
  <c r="F542" i="21"/>
  <c r="G543" i="21"/>
  <c r="F551" i="21"/>
  <c r="G551" i="21" s="1"/>
  <c r="G552" i="21"/>
  <c r="F573" i="21"/>
  <c r="G573" i="21" s="1"/>
  <c r="G574" i="21"/>
  <c r="F606" i="21"/>
  <c r="G606" i="21" s="1"/>
  <c r="G607" i="21"/>
  <c r="F535" i="21"/>
  <c r="G536" i="21"/>
  <c r="F649" i="21"/>
  <c r="G649" i="21" s="1"/>
  <c r="G650" i="21"/>
  <c r="F655" i="21"/>
  <c r="G655" i="21" s="1"/>
  <c r="G656" i="21"/>
  <c r="F685" i="21"/>
  <c r="G686" i="21"/>
  <c r="F706" i="21"/>
  <c r="G706" i="21" s="1"/>
  <c r="G707" i="21"/>
  <c r="F84" i="21"/>
  <c r="G84" i="21" s="1"/>
  <c r="G85" i="21"/>
  <c r="F97" i="21"/>
  <c r="G97" i="21" s="1"/>
  <c r="G98" i="21"/>
  <c r="F110" i="21"/>
  <c r="G110" i="21" s="1"/>
  <c r="G111" i="21"/>
  <c r="F203" i="21"/>
  <c r="G204" i="21"/>
  <c r="F261" i="21"/>
  <c r="G261" i="21" s="1"/>
  <c r="G262" i="21"/>
  <c r="F279" i="21"/>
  <c r="G279" i="21" s="1"/>
  <c r="G280" i="21"/>
  <c r="F300" i="21"/>
  <c r="G300" i="21" s="1"/>
  <c r="G301" i="21"/>
  <c r="F313" i="21"/>
  <c r="G313" i="21" s="1"/>
  <c r="G314" i="21"/>
  <c r="F342" i="21"/>
  <c r="G342" i="21" s="1"/>
  <c r="G343" i="21"/>
  <c r="F375" i="21"/>
  <c r="G375" i="21" s="1"/>
  <c r="G376" i="21"/>
  <c r="F384" i="21"/>
  <c r="G384" i="21" s="1"/>
  <c r="G385" i="21"/>
  <c r="F396" i="21"/>
  <c r="G396" i="21" s="1"/>
  <c r="G397" i="21"/>
  <c r="F410" i="21"/>
  <c r="G410" i="21" s="1"/>
  <c r="G411" i="21"/>
  <c r="F423" i="21"/>
  <c r="G423" i="21" s="1"/>
  <c r="G424" i="21"/>
  <c r="F493" i="21"/>
  <c r="G493" i="21" s="1"/>
  <c r="G494" i="21"/>
  <c r="F515" i="21"/>
  <c r="G515" i="21" s="1"/>
  <c r="G516" i="21"/>
  <c r="F548" i="21"/>
  <c r="G548" i="21" s="1"/>
  <c r="G549" i="21"/>
  <c r="F561" i="21"/>
  <c r="G562" i="21"/>
  <c r="F612" i="21"/>
  <c r="G612" i="21" s="1"/>
  <c r="G613" i="21"/>
  <c r="F626" i="21"/>
  <c r="G626" i="21" s="1"/>
  <c r="G627" i="21"/>
  <c r="F695" i="21"/>
  <c r="G695" i="21" s="1"/>
  <c r="G696" i="21"/>
  <c r="F715" i="21"/>
  <c r="G716" i="21"/>
  <c r="F757" i="21"/>
  <c r="G758" i="21"/>
  <c r="F88" i="21"/>
  <c r="G88" i="21" s="1"/>
  <c r="G89" i="21"/>
  <c r="F100" i="21"/>
  <c r="G100" i="21" s="1"/>
  <c r="G101" i="21"/>
  <c r="F115" i="21"/>
  <c r="G116" i="21"/>
  <c r="F213" i="21"/>
  <c r="G213" i="21" s="1"/>
  <c r="G214" i="21"/>
  <c r="F221" i="21"/>
  <c r="G221" i="21" s="1"/>
  <c r="G222" i="21"/>
  <c r="F250" i="21"/>
  <c r="G250" i="21" s="1"/>
  <c r="G251" i="21"/>
  <c r="F264" i="21"/>
  <c r="G264" i="21" s="1"/>
  <c r="G265" i="21"/>
  <c r="F276" i="21"/>
  <c r="G276" i="21" s="1"/>
  <c r="G277" i="21"/>
  <c r="F303" i="21"/>
  <c r="G303" i="21" s="1"/>
  <c r="G304" i="21"/>
  <c r="F352" i="21"/>
  <c r="G352" i="21" s="1"/>
  <c r="G355" i="21"/>
  <c r="F378" i="21"/>
  <c r="G378" i="21" s="1"/>
  <c r="G379" i="21"/>
  <c r="F387" i="21"/>
  <c r="G387" i="21" s="1"/>
  <c r="G388" i="21"/>
  <c r="F413" i="21"/>
  <c r="G413" i="21" s="1"/>
  <c r="G414" i="21"/>
  <c r="F439" i="21"/>
  <c r="G440" i="21"/>
  <c r="F497" i="21"/>
  <c r="G497" i="21" s="1"/>
  <c r="G498" i="21"/>
  <c r="F528" i="21"/>
  <c r="G529" i="21"/>
  <c r="F615" i="21"/>
  <c r="G615" i="21" s="1"/>
  <c r="G616" i="21"/>
  <c r="F630" i="21"/>
  <c r="G631" i="21"/>
  <c r="F698" i="21"/>
  <c r="G698" i="21" s="1"/>
  <c r="G699" i="21"/>
  <c r="F722" i="21"/>
  <c r="G723" i="21"/>
  <c r="F30" i="21"/>
  <c r="G31" i="21"/>
  <c r="F81" i="21"/>
  <c r="G81" i="21" s="1"/>
  <c r="G82" i="21"/>
  <c r="F94" i="21"/>
  <c r="G94" i="21" s="1"/>
  <c r="G95" i="21"/>
  <c r="F107" i="21"/>
  <c r="G107" i="21" s="1"/>
  <c r="G108" i="21"/>
  <c r="F146" i="21"/>
  <c r="G146" i="21" s="1"/>
  <c r="G147" i="21"/>
  <c r="F258" i="21"/>
  <c r="G258" i="21" s="1"/>
  <c r="G259" i="21"/>
  <c r="F272" i="21"/>
  <c r="G273" i="21"/>
  <c r="F297" i="21"/>
  <c r="G297" i="21" s="1"/>
  <c r="G298" i="21"/>
  <c r="F310" i="21"/>
  <c r="G310" i="21" s="1"/>
  <c r="G311" i="21"/>
  <c r="F330" i="21"/>
  <c r="G330" i="21" s="1"/>
  <c r="G331" i="21"/>
  <c r="F357" i="21"/>
  <c r="G357" i="21" s="1"/>
  <c r="G358" i="21"/>
  <c r="F370" i="21"/>
  <c r="G371" i="21"/>
  <c r="F381" i="21"/>
  <c r="G381" i="21" s="1"/>
  <c r="G382" i="21"/>
  <c r="F393" i="21"/>
  <c r="G393" i="21" s="1"/>
  <c r="G394" i="21"/>
  <c r="F407" i="21"/>
  <c r="G407" i="21" s="1"/>
  <c r="G408" i="21"/>
  <c r="F420" i="21"/>
  <c r="G420" i="21" s="1"/>
  <c r="G421" i="21"/>
  <c r="F511" i="21"/>
  <c r="G511" i="21" s="1"/>
  <c r="G512" i="21"/>
  <c r="F556" i="21"/>
  <c r="G557" i="21"/>
  <c r="F609" i="21"/>
  <c r="G609" i="21" s="1"/>
  <c r="G610" i="21"/>
  <c r="F652" i="21"/>
  <c r="G652" i="21" s="1"/>
  <c r="G653" i="21"/>
  <c r="F658" i="21"/>
  <c r="G658" i="21" s="1"/>
  <c r="G659" i="21"/>
  <c r="F673" i="21"/>
  <c r="G673" i="21" s="1"/>
  <c r="G674" i="21"/>
  <c r="F690" i="21"/>
  <c r="G691" i="21"/>
  <c r="F709" i="21"/>
  <c r="G709" i="21" s="1"/>
  <c r="G710" i="21"/>
  <c r="F12" i="21"/>
  <c r="G13" i="21"/>
  <c r="F676" i="21"/>
  <c r="G849" i="20"/>
  <c r="H849" i="20" s="1"/>
  <c r="G727" i="20"/>
  <c r="H727" i="20" s="1"/>
  <c r="G891" i="20"/>
  <c r="H891" i="20" s="1"/>
  <c r="G835" i="20"/>
  <c r="H835" i="20" s="1"/>
  <c r="G712" i="20"/>
  <c r="G710" i="20"/>
  <c r="G757" i="20"/>
  <c r="H757" i="20" s="1"/>
  <c r="G749" i="20"/>
  <c r="F589" i="21"/>
  <c r="G589" i="21" s="1"/>
  <c r="F586" i="21"/>
  <c r="G586" i="21" s="1"/>
  <c r="F197" i="21"/>
  <c r="F231" i="21"/>
  <c r="G231" i="21" s="1"/>
  <c r="F236" i="21"/>
  <c r="G236" i="21" s="1"/>
  <c r="F150" i="21"/>
  <c r="G827" i="20"/>
  <c r="H827" i="20" s="1"/>
  <c r="F18" i="21" l="1"/>
  <c r="G18" i="21" s="1"/>
  <c r="G598" i="21"/>
  <c r="F737" i="21"/>
  <c r="G737" i="21" s="1"/>
  <c r="F484" i="21"/>
  <c r="G484" i="21" s="1"/>
  <c r="G400" i="21"/>
  <c r="G195" i="21"/>
  <c r="F600" i="21"/>
  <c r="G600" i="21" s="1"/>
  <c r="F243" i="21"/>
  <c r="F242" i="21" s="1"/>
  <c r="F466" i="21"/>
  <c r="F462" i="21" s="1"/>
  <c r="F454" i="21"/>
  <c r="F450" i="21" s="1"/>
  <c r="F218" i="21"/>
  <c r="G218" i="21" s="1"/>
  <c r="F170" i="21"/>
  <c r="G170" i="21" s="1"/>
  <c r="F746" i="21"/>
  <c r="F745" i="21" s="1"/>
  <c r="F664" i="21"/>
  <c r="G664" i="21" s="1"/>
  <c r="F472" i="21"/>
  <c r="F471" i="21" s="1"/>
  <c r="G471" i="21" s="1"/>
  <c r="G624" i="21"/>
  <c r="G735" i="21"/>
  <c r="F126" i="21"/>
  <c r="G126" i="21" s="1"/>
  <c r="F361" i="21"/>
  <c r="F360" i="21" s="1"/>
  <c r="G360" i="21" s="1"/>
  <c r="G912" i="20"/>
  <c r="H912" i="20" s="1"/>
  <c r="F184" i="21"/>
  <c r="F183" i="21" s="1"/>
  <c r="G183" i="21" s="1"/>
  <c r="G452" i="21"/>
  <c r="G324" i="21"/>
  <c r="G482" i="21"/>
  <c r="G464" i="21"/>
  <c r="F21" i="21"/>
  <c r="G21" i="21" s="1"/>
  <c r="F136" i="21"/>
  <c r="G136" i="21" s="1"/>
  <c r="F579" i="21"/>
  <c r="F578" i="21" s="1"/>
  <c r="G578" i="21" s="1"/>
  <c r="F667" i="21"/>
  <c r="F492" i="21"/>
  <c r="F491" i="21" s="1"/>
  <c r="F568" i="21"/>
  <c r="G568" i="21" s="1"/>
  <c r="F702" i="21"/>
  <c r="G702" i="21" s="1"/>
  <c r="F316" i="21"/>
  <c r="G316" i="21" s="1"/>
  <c r="F80" i="21"/>
  <c r="G80" i="21" s="1"/>
  <c r="F510" i="21"/>
  <c r="G510" i="21" s="1"/>
  <c r="F329" i="21"/>
  <c r="G329" i="21" s="1"/>
  <c r="G751" i="20"/>
  <c r="H837" i="20"/>
  <c r="G725" i="20"/>
  <c r="H725" i="20" s="1"/>
  <c r="H749" i="20"/>
  <c r="G704" i="20"/>
  <c r="H712" i="20"/>
  <c r="G702" i="20"/>
  <c r="H710" i="20"/>
  <c r="F406" i="21"/>
  <c r="G406" i="21" s="1"/>
  <c r="F351" i="21"/>
  <c r="G351" i="21" s="1"/>
  <c r="F694" i="21"/>
  <c r="G694" i="21" s="1"/>
  <c r="F296" i="21"/>
  <c r="G296" i="21" s="1"/>
  <c r="F87" i="21"/>
  <c r="G87" i="21" s="1"/>
  <c r="F254" i="21"/>
  <c r="G254" i="21" s="1"/>
  <c r="F547" i="21"/>
  <c r="F546" i="21" s="1"/>
  <c r="F622" i="21"/>
  <c r="G622" i="21" s="1"/>
  <c r="F275" i="21"/>
  <c r="G275" i="21" s="1"/>
  <c r="F672" i="21"/>
  <c r="G672" i="21" s="1"/>
  <c r="G676" i="21"/>
  <c r="F689" i="21"/>
  <c r="G689" i="21" s="1"/>
  <c r="G690" i="21"/>
  <c r="F149" i="21"/>
  <c r="G149" i="21" s="1"/>
  <c r="G150" i="21"/>
  <c r="F193" i="21"/>
  <c r="G197" i="21"/>
  <c r="F374" i="21"/>
  <c r="G374" i="21" s="1"/>
  <c r="F306" i="21"/>
  <c r="G306" i="21" s="1"/>
  <c r="F106" i="21"/>
  <c r="G106" i="21" s="1"/>
  <c r="F605" i="21"/>
  <c r="G605" i="21" s="1"/>
  <c r="F555" i="21"/>
  <c r="G556" i="21"/>
  <c r="F271" i="21"/>
  <c r="G272" i="21"/>
  <c r="F721" i="21"/>
  <c r="G722" i="21"/>
  <c r="F527" i="21"/>
  <c r="G527" i="21" s="1"/>
  <c r="G528" i="21"/>
  <c r="F435" i="21"/>
  <c r="G435" i="21" s="1"/>
  <c r="G439" i="21"/>
  <c r="F114" i="21"/>
  <c r="G115" i="21"/>
  <c r="F714" i="21"/>
  <c r="G715" i="21"/>
  <c r="F560" i="21"/>
  <c r="G561" i="21"/>
  <c r="F202" i="21"/>
  <c r="G202" i="21" s="1"/>
  <c r="G203" i="21"/>
  <c r="F534" i="21"/>
  <c r="G535" i="21"/>
  <c r="F541" i="21"/>
  <c r="G542" i="21"/>
  <c r="F416" i="21"/>
  <c r="G416" i="21" s="1"/>
  <c r="G417" i="21"/>
  <c r="F119" i="21"/>
  <c r="G120" i="21"/>
  <c r="F648" i="21"/>
  <c r="G648" i="21" s="1"/>
  <c r="F369" i="21"/>
  <c r="G369" i="21" s="1"/>
  <c r="G370" i="21"/>
  <c r="F29" i="21"/>
  <c r="G30" i="21"/>
  <c r="F629" i="21"/>
  <c r="G629" i="21" s="1"/>
  <c r="G630" i="21"/>
  <c r="F756" i="21"/>
  <c r="G757" i="21"/>
  <c r="F733" i="21"/>
  <c r="G733" i="21" s="1"/>
  <c r="G734" i="21"/>
  <c r="F684" i="21"/>
  <c r="G685" i="21"/>
  <c r="F504" i="21"/>
  <c r="G504" i="21" s="1"/>
  <c r="G505" i="21"/>
  <c r="F443" i="21"/>
  <c r="G444" i="21"/>
  <c r="F11" i="21"/>
  <c r="G12" i="21"/>
  <c r="G679" i="20"/>
  <c r="H679" i="20" s="1"/>
  <c r="G610" i="20"/>
  <c r="H610" i="20" s="1"/>
  <c r="G603" i="20"/>
  <c r="H603" i="20" s="1"/>
  <c r="G909" i="20"/>
  <c r="G885" i="20"/>
  <c r="H885" i="20" s="1"/>
  <c r="F663" i="21" l="1"/>
  <c r="F662" i="21" s="1"/>
  <c r="F17" i="21"/>
  <c r="F16" i="21" s="1"/>
  <c r="F596" i="21"/>
  <c r="G596" i="21" s="1"/>
  <c r="F480" i="21"/>
  <c r="G480" i="21" s="1"/>
  <c r="F169" i="21"/>
  <c r="F165" i="21" s="1"/>
  <c r="F701" i="21"/>
  <c r="G701" i="21" s="1"/>
  <c r="G243" i="21"/>
  <c r="G466" i="21"/>
  <c r="F212" i="21"/>
  <c r="G212" i="21" s="1"/>
  <c r="G746" i="21"/>
  <c r="G579" i="21"/>
  <c r="G454" i="21"/>
  <c r="G361" i="21"/>
  <c r="G667" i="21"/>
  <c r="G184" i="21"/>
  <c r="G472" i="21"/>
  <c r="F125" i="21"/>
  <c r="G125" i="21" s="1"/>
  <c r="G492" i="21"/>
  <c r="G547" i="21"/>
  <c r="F693" i="21"/>
  <c r="G693" i="21" s="1"/>
  <c r="F350" i="21"/>
  <c r="F79" i="21"/>
  <c r="G79" i="21" s="1"/>
  <c r="F577" i="21"/>
  <c r="G577" i="21" s="1"/>
  <c r="F405" i="21"/>
  <c r="G405" i="21" s="1"/>
  <c r="G691" i="20"/>
  <c r="H691" i="20" s="1"/>
  <c r="H702" i="20"/>
  <c r="G908" i="20"/>
  <c r="H909" i="20"/>
  <c r="G688" i="20"/>
  <c r="H688" i="20" s="1"/>
  <c r="H704" i="20"/>
  <c r="G732" i="20"/>
  <c r="H732" i="20" s="1"/>
  <c r="H751" i="20"/>
  <c r="F509" i="21"/>
  <c r="F508" i="21" s="1"/>
  <c r="G508" i="21" s="1"/>
  <c r="F442" i="21"/>
  <c r="G443" i="21"/>
  <c r="F755" i="21"/>
  <c r="G755" i="21" s="1"/>
  <c r="G756" i="21"/>
  <c r="F295" i="21"/>
  <c r="F241" i="21"/>
  <c r="G241" i="21" s="1"/>
  <c r="G242" i="21"/>
  <c r="F533" i="21"/>
  <c r="G534" i="21"/>
  <c r="F713" i="21"/>
  <c r="G714" i="21"/>
  <c r="F720" i="21"/>
  <c r="G721" i="21"/>
  <c r="F554" i="21"/>
  <c r="G554" i="21" s="1"/>
  <c r="G555" i="21"/>
  <c r="F732" i="21"/>
  <c r="F461" i="21"/>
  <c r="G462" i="21"/>
  <c r="F744" i="21"/>
  <c r="G745" i="21"/>
  <c r="F621" i="21"/>
  <c r="G546" i="21"/>
  <c r="F683" i="21"/>
  <c r="G684" i="21"/>
  <c r="F28" i="21"/>
  <c r="G29" i="21"/>
  <c r="F118" i="21"/>
  <c r="G118" i="21" s="1"/>
  <c r="G119" i="21"/>
  <c r="F540" i="21"/>
  <c r="G541" i="21"/>
  <c r="F559" i="21"/>
  <c r="G559" i="21" s="1"/>
  <c r="G560" i="21"/>
  <c r="F113" i="21"/>
  <c r="G113" i="21" s="1"/>
  <c r="G114" i="21"/>
  <c r="G271" i="21"/>
  <c r="F270" i="21"/>
  <c r="F449" i="21"/>
  <c r="G450" i="21"/>
  <c r="F490" i="21"/>
  <c r="G490" i="21" s="1"/>
  <c r="G491" i="21"/>
  <c r="F192" i="21"/>
  <c r="G193" i="21"/>
  <c r="F10" i="21"/>
  <c r="G11" i="21"/>
  <c r="G890" i="20"/>
  <c r="G572" i="20"/>
  <c r="G675" i="20"/>
  <c r="H675" i="20" s="1"/>
  <c r="G855" i="20"/>
  <c r="H855" i="20" s="1"/>
  <c r="G598" i="20"/>
  <c r="H598" i="20" s="1"/>
  <c r="G810" i="20"/>
  <c r="H810" i="20" s="1"/>
  <c r="G663" i="21" l="1"/>
  <c r="G17" i="21"/>
  <c r="F595" i="21"/>
  <c r="G595" i="21" s="1"/>
  <c r="F479" i="21"/>
  <c r="G479" i="21" s="1"/>
  <c r="G169" i="21"/>
  <c r="F124" i="21"/>
  <c r="G124" i="21" s="1"/>
  <c r="F688" i="21"/>
  <c r="G688" i="21" s="1"/>
  <c r="G509" i="21"/>
  <c r="G350" i="21"/>
  <c r="G907" i="20"/>
  <c r="H908" i="20"/>
  <c r="G503" i="20"/>
  <c r="H572" i="20"/>
  <c r="G889" i="20"/>
  <c r="H890" i="20"/>
  <c r="F448" i="21"/>
  <c r="G448" i="21" s="1"/>
  <c r="G449" i="21"/>
  <c r="G16" i="21"/>
  <c r="F15" i="21"/>
  <c r="G15" i="21" s="1"/>
  <c r="F661" i="21"/>
  <c r="G662" i="21"/>
  <c r="F27" i="21"/>
  <c r="G27" i="21" s="1"/>
  <c r="G28" i="21"/>
  <c r="F345" i="21"/>
  <c r="G345" i="21" s="1"/>
  <c r="F731" i="21"/>
  <c r="G732" i="21"/>
  <c r="F719" i="21"/>
  <c r="G719" i="21" s="1"/>
  <c r="G720" i="21"/>
  <c r="G533" i="21"/>
  <c r="G270" i="21"/>
  <c r="F253" i="21"/>
  <c r="G253" i="21" s="1"/>
  <c r="F743" i="21"/>
  <c r="G744" i="21"/>
  <c r="G442" i="21"/>
  <c r="F373" i="21"/>
  <c r="G373" i="21" s="1"/>
  <c r="F191" i="21"/>
  <c r="G191" i="21" s="1"/>
  <c r="G192" i="21"/>
  <c r="F539" i="21"/>
  <c r="G539" i="21" s="1"/>
  <c r="G540" i="21"/>
  <c r="F164" i="21"/>
  <c r="G165" i="21"/>
  <c r="F682" i="21"/>
  <c r="G683" i="21"/>
  <c r="F545" i="21"/>
  <c r="G545" i="21" s="1"/>
  <c r="F712" i="21"/>
  <c r="G712" i="21" s="1"/>
  <c r="G713" i="21"/>
  <c r="F620" i="21"/>
  <c r="G621" i="21"/>
  <c r="F460" i="21"/>
  <c r="G461" i="21"/>
  <c r="F294" i="21"/>
  <c r="G295" i="21"/>
  <c r="F207" i="21"/>
  <c r="F9" i="21"/>
  <c r="G10" i="21"/>
  <c r="G884" i="20"/>
  <c r="G670" i="20"/>
  <c r="G803" i="20"/>
  <c r="H803" i="20" s="1"/>
  <c r="G845" i="20"/>
  <c r="G307" i="20"/>
  <c r="F594" i="21" l="1"/>
  <c r="G594" i="21" s="1"/>
  <c r="F123" i="21"/>
  <c r="G123" i="21" s="1"/>
  <c r="G443" i="20"/>
  <c r="H503" i="20"/>
  <c r="G294" i="20"/>
  <c r="H294" i="20" s="1"/>
  <c r="H307" i="20"/>
  <c r="G666" i="20"/>
  <c r="H666" i="20" s="1"/>
  <c r="H670" i="20"/>
  <c r="G883" i="20"/>
  <c r="H884" i="20"/>
  <c r="G840" i="20"/>
  <c r="H845" i="20"/>
  <c r="G888" i="20"/>
  <c r="H889" i="20"/>
  <c r="G906" i="20"/>
  <c r="H907" i="20"/>
  <c r="F532" i="21"/>
  <c r="G532" i="21" s="1"/>
  <c r="F742" i="21"/>
  <c r="G742" i="21" s="1"/>
  <c r="G743" i="21"/>
  <c r="G294" i="21"/>
  <c r="F619" i="21"/>
  <c r="G619" i="21" s="1"/>
  <c r="G620" i="21"/>
  <c r="G682" i="21"/>
  <c r="F681" i="21"/>
  <c r="G681" i="21" s="1"/>
  <c r="G460" i="21"/>
  <c r="F459" i="21"/>
  <c r="G661" i="21"/>
  <c r="F647" i="21"/>
  <c r="F163" i="21"/>
  <c r="G164" i="21"/>
  <c r="F206" i="21"/>
  <c r="G206" i="21" s="1"/>
  <c r="G207" i="21"/>
  <c r="F730" i="21"/>
  <c r="G731" i="21"/>
  <c r="F8" i="21"/>
  <c r="G8" i="21" s="1"/>
  <c r="G9" i="21"/>
  <c r="G854" i="20"/>
  <c r="G720" i="20"/>
  <c r="G790" i="20"/>
  <c r="H790" i="20" s="1"/>
  <c r="G589" i="20"/>
  <c r="H589" i="20" s="1"/>
  <c r="F567" i="21" l="1"/>
  <c r="F566" i="21" s="1"/>
  <c r="F78" i="21"/>
  <c r="G78" i="21" s="1"/>
  <c r="G882" i="20"/>
  <c r="H883" i="20"/>
  <c r="G719" i="20"/>
  <c r="H719" i="20" s="1"/>
  <c r="H720" i="20"/>
  <c r="H854" i="20"/>
  <c r="H888" i="20"/>
  <c r="G905" i="20"/>
  <c r="H906" i="20"/>
  <c r="G833" i="20"/>
  <c r="H840" i="20"/>
  <c r="G432" i="20"/>
  <c r="H443" i="20"/>
  <c r="F718" i="21"/>
  <c r="G718" i="21" s="1"/>
  <c r="G730" i="21"/>
  <c r="F162" i="21"/>
  <c r="G162" i="21" s="1"/>
  <c r="G163" i="21"/>
  <c r="F447" i="21"/>
  <c r="G459" i="21"/>
  <c r="F639" i="21"/>
  <c r="G647" i="21"/>
  <c r="G826" i="20"/>
  <c r="H826" i="20" s="1"/>
  <c r="G586" i="20"/>
  <c r="H586" i="20" s="1"/>
  <c r="G654" i="20"/>
  <c r="H654" i="20" s="1"/>
  <c r="G786" i="20"/>
  <c r="H786" i="20" s="1"/>
  <c r="G708" i="20"/>
  <c r="G567" i="21" l="1"/>
  <c r="G746" i="20"/>
  <c r="H746" i="20" s="1"/>
  <c r="H833" i="20"/>
  <c r="G699" i="20"/>
  <c r="H699" i="20" s="1"/>
  <c r="H708" i="20"/>
  <c r="G355" i="20"/>
  <c r="H432" i="20"/>
  <c r="G904" i="20"/>
  <c r="H905" i="20"/>
  <c r="G881" i="20"/>
  <c r="H882" i="20"/>
  <c r="F489" i="21"/>
  <c r="G489" i="21" s="1"/>
  <c r="G566" i="21"/>
  <c r="G447" i="21"/>
  <c r="F293" i="21"/>
  <c r="G293" i="21" s="1"/>
  <c r="F618" i="21"/>
  <c r="G618" i="21" s="1"/>
  <c r="G639" i="21"/>
  <c r="G567" i="20"/>
  <c r="H567" i="20" s="1"/>
  <c r="G641" i="20"/>
  <c r="H641" i="20" s="1"/>
  <c r="G822" i="20"/>
  <c r="G776" i="20"/>
  <c r="H776" i="20" s="1"/>
  <c r="G901" i="20" l="1"/>
  <c r="H904" i="20"/>
  <c r="G821" i="20"/>
  <c r="H822" i="20"/>
  <c r="G880" i="20"/>
  <c r="H881" i="20"/>
  <c r="G311" i="20"/>
  <c r="H311" i="20" s="1"/>
  <c r="H355" i="20"/>
  <c r="G772" i="20"/>
  <c r="H772" i="20" s="1"/>
  <c r="G638" i="20"/>
  <c r="H638" i="20" s="1"/>
  <c r="G809" i="20"/>
  <c r="G540" i="20"/>
  <c r="H540" i="20" s="1"/>
  <c r="G498" i="20"/>
  <c r="H498" i="20" s="1"/>
  <c r="G808" i="20" l="1"/>
  <c r="H809" i="20"/>
  <c r="H821" i="20"/>
  <c r="H880" i="20"/>
  <c r="G900" i="20"/>
  <c r="H901" i="20"/>
  <c r="G635" i="20"/>
  <c r="H635" i="20" s="1"/>
  <c r="G771" i="20"/>
  <c r="G685" i="20"/>
  <c r="H685" i="20" s="1"/>
  <c r="G439" i="20"/>
  <c r="G427" i="20" l="1"/>
  <c r="H427" i="20" s="1"/>
  <c r="H439" i="20"/>
  <c r="G899" i="20"/>
  <c r="H900" i="20"/>
  <c r="H771" i="20"/>
  <c r="G807" i="20"/>
  <c r="H808" i="20"/>
  <c r="G351" i="20"/>
  <c r="G631" i="20"/>
  <c r="H631" i="20" s="1"/>
  <c r="G346" i="20"/>
  <c r="G651" i="20"/>
  <c r="H651" i="20" s="1"/>
  <c r="G745" i="20"/>
  <c r="G806" i="20" l="1"/>
  <c r="H807" i="20"/>
  <c r="G341" i="20"/>
  <c r="H341" i="20" s="1"/>
  <c r="H346" i="20"/>
  <c r="G898" i="20"/>
  <c r="H899" i="20"/>
  <c r="H745" i="20"/>
  <c r="G302" i="20"/>
  <c r="H302" i="20" s="1"/>
  <c r="H351" i="20"/>
  <c r="G628" i="20"/>
  <c r="H628" i="20" s="1"/>
  <c r="G481" i="20"/>
  <c r="H481" i="20" s="1"/>
  <c r="G289" i="20"/>
  <c r="H289" i="20" s="1"/>
  <c r="G893" i="20" l="1"/>
  <c r="H898" i="20"/>
  <c r="G802" i="20"/>
  <c r="H806" i="20"/>
  <c r="G698" i="20"/>
  <c r="G625" i="20"/>
  <c r="H625" i="20" s="1"/>
  <c r="G394" i="20"/>
  <c r="H394" i="20" s="1"/>
  <c r="G801" i="20" l="1"/>
  <c r="H802" i="20"/>
  <c r="H698" i="20"/>
  <c r="H893" i="20"/>
  <c r="G887" i="20"/>
  <c r="G390" i="20"/>
  <c r="H390" i="20" s="1"/>
  <c r="G624" i="20"/>
  <c r="H624" i="20" l="1"/>
  <c r="H887" i="20"/>
  <c r="G879" i="20"/>
  <c r="G789" i="20"/>
  <c r="H801" i="20"/>
  <c r="G387" i="20"/>
  <c r="H387" i="20" s="1"/>
  <c r="G878" i="20" l="1"/>
  <c r="H879" i="20"/>
  <c r="G785" i="20"/>
  <c r="H789" i="20"/>
  <c r="G379" i="20"/>
  <c r="H379" i="20" s="1"/>
  <c r="G618" i="20"/>
  <c r="H618" i="20" s="1"/>
  <c r="G784" i="20" l="1"/>
  <c r="H785" i="20"/>
  <c r="G875" i="20"/>
  <c r="H878" i="20"/>
  <c r="G617" i="20"/>
  <c r="H617" i="20" s="1"/>
  <c r="G367" i="20"/>
  <c r="G874" i="20" l="1"/>
  <c r="H875" i="20"/>
  <c r="G783" i="20"/>
  <c r="H784" i="20"/>
  <c r="G366" i="20"/>
  <c r="H366" i="20" s="1"/>
  <c r="H367" i="20"/>
  <c r="G616" i="20"/>
  <c r="G358" i="20"/>
  <c r="H358" i="20" s="1"/>
  <c r="G601" i="20"/>
  <c r="H601" i="20" s="1"/>
  <c r="G615" i="20" l="1"/>
  <c r="H616" i="20"/>
  <c r="G782" i="20"/>
  <c r="H783" i="20"/>
  <c r="G873" i="20"/>
  <c r="H874" i="20"/>
  <c r="G600" i="20"/>
  <c r="H600" i="20" s="1"/>
  <c r="G592" i="20"/>
  <c r="H592" i="20" s="1"/>
  <c r="G597" i="20"/>
  <c r="H597" i="20" s="1"/>
  <c r="G775" i="20" l="1"/>
  <c r="H782" i="20"/>
  <c r="G872" i="20"/>
  <c r="H873" i="20"/>
  <c r="G614" i="20"/>
  <c r="H615" i="20"/>
  <c r="G596" i="20"/>
  <c r="G591" i="20"/>
  <c r="G583" i="20"/>
  <c r="H583" i="20" s="1"/>
  <c r="G869" i="20" l="1"/>
  <c r="H872" i="20"/>
  <c r="G588" i="20"/>
  <c r="H591" i="20"/>
  <c r="G595" i="20"/>
  <c r="H596" i="20"/>
  <c r="G613" i="20"/>
  <c r="H614" i="20"/>
  <c r="H775" i="20"/>
  <c r="G770" i="20"/>
  <c r="G582" i="20"/>
  <c r="H582" i="20" s="1"/>
  <c r="G578" i="20"/>
  <c r="H578" i="20" s="1"/>
  <c r="G769" i="20" l="1"/>
  <c r="H770" i="20"/>
  <c r="G609" i="20"/>
  <c r="H613" i="20"/>
  <c r="G585" i="20"/>
  <c r="H585" i="20" s="1"/>
  <c r="H588" i="20"/>
  <c r="G594" i="20"/>
  <c r="H594" i="20" s="1"/>
  <c r="H595" i="20"/>
  <c r="G866" i="20"/>
  <c r="H869" i="20"/>
  <c r="G577" i="20"/>
  <c r="G570" i="20"/>
  <c r="G581" i="20" l="1"/>
  <c r="H581" i="20" s="1"/>
  <c r="G608" i="20"/>
  <c r="H609" i="20"/>
  <c r="G576" i="20"/>
  <c r="H577" i="20"/>
  <c r="G551" i="20"/>
  <c r="H551" i="20" s="1"/>
  <c r="H570" i="20"/>
  <c r="G865" i="20"/>
  <c r="H866" i="20"/>
  <c r="G768" i="20"/>
  <c r="H769" i="20"/>
  <c r="G569" i="20"/>
  <c r="H569" i="20" s="1"/>
  <c r="G566" i="20"/>
  <c r="H566" i="20" s="1"/>
  <c r="G548" i="20"/>
  <c r="H548" i="20" s="1"/>
  <c r="G580" i="20" l="1"/>
  <c r="H580" i="20" s="1"/>
  <c r="H768" i="20"/>
  <c r="G607" i="20"/>
  <c r="H608" i="20"/>
  <c r="G864" i="20"/>
  <c r="H865" i="20"/>
  <c r="G575" i="20"/>
  <c r="H576" i="20"/>
  <c r="G565" i="20"/>
  <c r="G547" i="20"/>
  <c r="H547" i="20" s="1"/>
  <c r="G545" i="20"/>
  <c r="H545" i="20" s="1"/>
  <c r="H575" i="20" l="1"/>
  <c r="G574" i="20"/>
  <c r="G606" i="20"/>
  <c r="H607" i="20"/>
  <c r="G564" i="20"/>
  <c r="H565" i="20"/>
  <c r="G863" i="20"/>
  <c r="H864" i="20"/>
  <c r="G544" i="20"/>
  <c r="G528" i="20"/>
  <c r="H528" i="20" s="1"/>
  <c r="G862" i="20" l="1"/>
  <c r="H863" i="20"/>
  <c r="H606" i="20"/>
  <c r="H574" i="20"/>
  <c r="H544" i="20"/>
  <c r="G563" i="20"/>
  <c r="H564" i="20"/>
  <c r="G527" i="20"/>
  <c r="H527" i="20" s="1"/>
  <c r="G522" i="20"/>
  <c r="H522" i="20" s="1"/>
  <c r="G562" i="20" l="1"/>
  <c r="H563" i="20"/>
  <c r="G857" i="20"/>
  <c r="H862" i="20"/>
  <c r="G539" i="20"/>
  <c r="H539" i="20" s="1"/>
  <c r="G521" i="20"/>
  <c r="H521" i="20" s="1"/>
  <c r="G526" i="20" l="1"/>
  <c r="H857" i="20"/>
  <c r="G853" i="20"/>
  <c r="G550" i="20"/>
  <c r="H562" i="20"/>
  <c r="G519" i="20"/>
  <c r="H519" i="20" s="1"/>
  <c r="H526" i="20" l="1"/>
  <c r="G525" i="20"/>
  <c r="H550" i="20"/>
  <c r="G543" i="20"/>
  <c r="G852" i="20"/>
  <c r="H853" i="20"/>
  <c r="G518" i="20"/>
  <c r="H518" i="20" s="1"/>
  <c r="G501" i="20"/>
  <c r="H525" i="20" l="1"/>
  <c r="H543" i="20"/>
  <c r="G542" i="20"/>
  <c r="H542" i="20" s="1"/>
  <c r="G491" i="20"/>
  <c r="H491" i="20" s="1"/>
  <c r="H501" i="20"/>
  <c r="G851" i="20"/>
  <c r="H852" i="20"/>
  <c r="G517" i="20"/>
  <c r="G500" i="20"/>
  <c r="H500" i="20" s="1"/>
  <c r="G484" i="20"/>
  <c r="H484" i="20" s="1"/>
  <c r="G497" i="20"/>
  <c r="H497" i="20" s="1"/>
  <c r="G844" i="20" l="1"/>
  <c r="H851" i="20"/>
  <c r="G516" i="20"/>
  <c r="H517" i="20"/>
  <c r="G524" i="20"/>
  <c r="H524" i="20" s="1"/>
  <c r="G496" i="20"/>
  <c r="G483" i="20"/>
  <c r="G478" i="20"/>
  <c r="H478" i="20" s="1"/>
  <c r="G480" i="20" l="1"/>
  <c r="H480" i="20" s="1"/>
  <c r="H483" i="20"/>
  <c r="G515" i="20"/>
  <c r="H516" i="20"/>
  <c r="G495" i="20"/>
  <c r="H496" i="20"/>
  <c r="G839" i="20"/>
  <c r="H844" i="20"/>
  <c r="G477" i="20"/>
  <c r="H477" i="20" s="1"/>
  <c r="G475" i="20"/>
  <c r="H475" i="20" s="1"/>
  <c r="G832" i="20" l="1"/>
  <c r="H839" i="20"/>
  <c r="G514" i="20"/>
  <c r="H514" i="20" s="1"/>
  <c r="H515" i="20"/>
  <c r="G494" i="20"/>
  <c r="H495" i="20"/>
  <c r="G474" i="20"/>
  <c r="H474" i="20" s="1"/>
  <c r="G472" i="20"/>
  <c r="H472" i="20" s="1"/>
  <c r="G493" i="20" l="1"/>
  <c r="H494" i="20"/>
  <c r="G831" i="20"/>
  <c r="H832" i="20"/>
  <c r="G471" i="20"/>
  <c r="H471" i="20" s="1"/>
  <c r="G469" i="20"/>
  <c r="H469" i="20" s="1"/>
  <c r="G830" i="20" l="1"/>
  <c r="H831" i="20"/>
  <c r="G490" i="20"/>
  <c r="H493" i="20"/>
  <c r="G468" i="20"/>
  <c r="H468" i="20" s="1"/>
  <c r="G466" i="20"/>
  <c r="H466" i="20" s="1"/>
  <c r="G486" i="20" l="1"/>
  <c r="H486" i="20" s="1"/>
  <c r="H490" i="20"/>
  <c r="H830" i="20"/>
  <c r="G820" i="20"/>
  <c r="G465" i="20"/>
  <c r="H465" i="20" s="1"/>
  <c r="G463" i="20"/>
  <c r="H463" i="20" s="1"/>
  <c r="G235" i="20"/>
  <c r="H235" i="20" s="1"/>
  <c r="G232" i="20"/>
  <c r="H232" i="20" s="1"/>
  <c r="G248" i="20"/>
  <c r="H248" i="20" s="1"/>
  <c r="G236" i="20"/>
  <c r="H236" i="20" s="1"/>
  <c r="G198" i="20"/>
  <c r="H198" i="20" s="1"/>
  <c r="G199" i="20"/>
  <c r="H199" i="20" s="1"/>
  <c r="G195" i="20"/>
  <c r="H195" i="20" s="1"/>
  <c r="G819" i="20" l="1"/>
  <c r="H820" i="20"/>
  <c r="G462" i="20"/>
  <c r="H462" i="20" s="1"/>
  <c r="G460" i="20"/>
  <c r="H460" i="20" s="1"/>
  <c r="G231" i="20"/>
  <c r="H231" i="20" s="1"/>
  <c r="H819" i="20" l="1"/>
  <c r="G767" i="20"/>
  <c r="G211" i="20"/>
  <c r="H211" i="20" s="1"/>
  <c r="G459" i="20"/>
  <c r="H459" i="20" s="1"/>
  <c r="G457" i="20"/>
  <c r="H457" i="20" s="1"/>
  <c r="G766" i="20" l="1"/>
  <c r="H767" i="20"/>
  <c r="G456" i="20"/>
  <c r="H456" i="20" s="1"/>
  <c r="G454" i="20"/>
  <c r="H454" i="20" s="1"/>
  <c r="G194" i="20"/>
  <c r="H194" i="20" s="1"/>
  <c r="G176" i="20"/>
  <c r="H176" i="20" s="1"/>
  <c r="G114" i="20"/>
  <c r="H114" i="20" s="1"/>
  <c r="G112" i="20"/>
  <c r="H112" i="20" s="1"/>
  <c r="G763" i="20" l="1"/>
  <c r="H766" i="20"/>
  <c r="G453" i="20"/>
  <c r="G441" i="20"/>
  <c r="G430" i="20" l="1"/>
  <c r="H441" i="20"/>
  <c r="G452" i="20"/>
  <c r="H453" i="20"/>
  <c r="G762" i="20"/>
  <c r="H763" i="20"/>
  <c r="G438" i="20"/>
  <c r="G50" i="20"/>
  <c r="H50" i="20" s="1"/>
  <c r="G48" i="20"/>
  <c r="H48" i="20" s="1"/>
  <c r="G40" i="20"/>
  <c r="H40" i="20" s="1"/>
  <c r="G38" i="20"/>
  <c r="H38" i="20" s="1"/>
  <c r="G20" i="20"/>
  <c r="H20" i="20" s="1"/>
  <c r="G186" i="20"/>
  <c r="H186" i="20" s="1"/>
  <c r="G181" i="20"/>
  <c r="H181" i="20" s="1"/>
  <c r="G175" i="20"/>
  <c r="G168" i="20"/>
  <c r="H168" i="20" s="1"/>
  <c r="G164" i="20"/>
  <c r="H164" i="20" s="1"/>
  <c r="G142" i="20"/>
  <c r="H142" i="20" s="1"/>
  <c r="G115" i="20"/>
  <c r="G100" i="20"/>
  <c r="H100" i="20" s="1"/>
  <c r="G44" i="20"/>
  <c r="H44" i="20" s="1"/>
  <c r="C9" i="14"/>
  <c r="F36" i="21"/>
  <c r="F39" i="21"/>
  <c r="G39" i="21" s="1"/>
  <c r="F41" i="21"/>
  <c r="G41" i="21" s="1"/>
  <c r="F47" i="21"/>
  <c r="F53" i="21"/>
  <c r="F56" i="21"/>
  <c r="G56" i="21" s="1"/>
  <c r="F58" i="21"/>
  <c r="G58" i="21" s="1"/>
  <c r="F63" i="21"/>
  <c r="F68" i="21"/>
  <c r="G68" i="21" s="1"/>
  <c r="F70" i="21"/>
  <c r="G70" i="21" s="1"/>
  <c r="F74" i="21"/>
  <c r="F764" i="21"/>
  <c r="C11" i="14"/>
  <c r="C16" i="14"/>
  <c r="C22" i="14"/>
  <c r="C20" i="14"/>
  <c r="C19" i="14" s="1"/>
  <c r="C18" i="14" s="1"/>
  <c r="C14" i="14"/>
  <c r="C29" i="14"/>
  <c r="C28" i="14" s="1"/>
  <c r="C27" i="14" s="1"/>
  <c r="C25" i="14"/>
  <c r="C24" i="14" s="1"/>
  <c r="C23" i="14" s="1"/>
  <c r="C8" i="14" l="1"/>
  <c r="G111" i="20"/>
  <c r="H111" i="20" s="1"/>
  <c r="H175" i="20"/>
  <c r="G437" i="20"/>
  <c r="H438" i="20"/>
  <c r="G451" i="20"/>
  <c r="H452" i="20"/>
  <c r="G60" i="20"/>
  <c r="H60" i="20" s="1"/>
  <c r="H115" i="20"/>
  <c r="G761" i="20"/>
  <c r="H762" i="20"/>
  <c r="G421" i="20"/>
  <c r="H421" i="20" s="1"/>
  <c r="H430" i="20"/>
  <c r="F73" i="21"/>
  <c r="G74" i="21"/>
  <c r="F52" i="21"/>
  <c r="G52" i="21" s="1"/>
  <c r="G53" i="21"/>
  <c r="F35" i="21"/>
  <c r="G35" i="21" s="1"/>
  <c r="G36" i="21"/>
  <c r="F763" i="21"/>
  <c r="G764" i="21"/>
  <c r="F62" i="21"/>
  <c r="G62" i="21" s="1"/>
  <c r="G63" i="21"/>
  <c r="F46" i="21"/>
  <c r="G47" i="21"/>
  <c r="C13" i="14"/>
  <c r="G426" i="20"/>
  <c r="G95" i="20"/>
  <c r="H95" i="20" s="1"/>
  <c r="G47" i="20"/>
  <c r="G418" i="20"/>
  <c r="H418" i="20" s="1"/>
  <c r="G161" i="20"/>
  <c r="H161" i="20" s="1"/>
  <c r="F38" i="21"/>
  <c r="F182" i="21"/>
  <c r="F67" i="21"/>
  <c r="F55" i="21"/>
  <c r="C7" i="14" l="1"/>
  <c r="G436" i="20"/>
  <c r="H437" i="20"/>
  <c r="H426" i="20"/>
  <c r="G37" i="20"/>
  <c r="H47" i="20"/>
  <c r="G760" i="20"/>
  <c r="H761" i="20"/>
  <c r="G445" i="20"/>
  <c r="H445" i="20" s="1"/>
  <c r="H451" i="20"/>
  <c r="F61" i="21"/>
  <c r="G67" i="21"/>
  <c r="F45" i="21"/>
  <c r="G46" i="21"/>
  <c r="F177" i="21"/>
  <c r="G177" i="21" s="1"/>
  <c r="G182" i="21"/>
  <c r="F51" i="21"/>
  <c r="G55" i="21"/>
  <c r="F762" i="21"/>
  <c r="G763" i="21"/>
  <c r="F34" i="21"/>
  <c r="G38" i="21"/>
  <c r="F72" i="21"/>
  <c r="G72" i="21" s="1"/>
  <c r="G73" i="21"/>
  <c r="G13" i="20"/>
  <c r="H13" i="20" s="1"/>
  <c r="G152" i="20"/>
  <c r="H152" i="20" s="1"/>
  <c r="G54" i="20"/>
  <c r="H54" i="20" s="1"/>
  <c r="G417" i="20"/>
  <c r="H417" i="20" s="1"/>
  <c r="G415" i="20"/>
  <c r="H415" i="20" s="1"/>
  <c r="G759" i="20" l="1"/>
  <c r="H760" i="20"/>
  <c r="G19" i="20"/>
  <c r="H19" i="20" s="1"/>
  <c r="H37" i="20"/>
  <c r="G435" i="20"/>
  <c r="H436" i="20"/>
  <c r="F33" i="21"/>
  <c r="G34" i="21"/>
  <c r="F44" i="21"/>
  <c r="G45" i="21"/>
  <c r="F761" i="21"/>
  <c r="G762" i="21"/>
  <c r="F60" i="21"/>
  <c r="G60" i="21" s="1"/>
  <c r="G61" i="21"/>
  <c r="F50" i="21"/>
  <c r="G51" i="21"/>
  <c r="G51" i="20"/>
  <c r="G414" i="20"/>
  <c r="H414" i="20" s="1"/>
  <c r="G412" i="20"/>
  <c r="H412" i="20" s="1"/>
  <c r="G92" i="20"/>
  <c r="H92" i="20" s="1"/>
  <c r="G41" i="20" l="1"/>
  <c r="H51" i="20"/>
  <c r="G434" i="20"/>
  <c r="H435" i="20"/>
  <c r="H759" i="20"/>
  <c r="F43" i="21"/>
  <c r="G43" i="21" s="1"/>
  <c r="G44" i="21"/>
  <c r="G50" i="21"/>
  <c r="F49" i="21"/>
  <c r="F760" i="21"/>
  <c r="G760" i="21" s="1"/>
  <c r="G761" i="21"/>
  <c r="F26" i="21"/>
  <c r="G26" i="21" s="1"/>
  <c r="G33" i="21"/>
  <c r="G88" i="20"/>
  <c r="H88" i="20" s="1"/>
  <c r="G24" i="20"/>
  <c r="H24" i="20" s="1"/>
  <c r="G411" i="20"/>
  <c r="H411" i="20" s="1"/>
  <c r="G409" i="20"/>
  <c r="H409" i="20" s="1"/>
  <c r="G429" i="20" l="1"/>
  <c r="H434" i="20"/>
  <c r="G756" i="20"/>
  <c r="G30" i="20"/>
  <c r="H30" i="20" s="1"/>
  <c r="H41" i="20"/>
  <c r="F7" i="21"/>
  <c r="G49" i="21"/>
  <c r="G408" i="20"/>
  <c r="H408" i="20" s="1"/>
  <c r="G406" i="20"/>
  <c r="H406" i="20" s="1"/>
  <c r="G85" i="20"/>
  <c r="H85" i="20" s="1"/>
  <c r="G755" i="20" l="1"/>
  <c r="H756" i="20"/>
  <c r="H429" i="20"/>
  <c r="G425" i="20"/>
  <c r="G7" i="21"/>
  <c r="F6" i="21"/>
  <c r="G6" i="21" s="1"/>
  <c r="G82" i="20"/>
  <c r="H82" i="20" s="1"/>
  <c r="G405" i="20"/>
  <c r="H405" i="20" s="1"/>
  <c r="G376" i="20"/>
  <c r="H376" i="20" s="1"/>
  <c r="G424" i="20" l="1"/>
  <c r="H425" i="20"/>
  <c r="G754" i="20"/>
  <c r="H755" i="20"/>
  <c r="G373" i="20"/>
  <c r="H373" i="20" s="1"/>
  <c r="G393" i="20"/>
  <c r="G79" i="20"/>
  <c r="H79" i="20" s="1"/>
  <c r="G753" i="20" l="1"/>
  <c r="H754" i="20"/>
  <c r="G392" i="20"/>
  <c r="H393" i="20"/>
  <c r="G423" i="20"/>
  <c r="H424" i="20"/>
  <c r="G378" i="20"/>
  <c r="G76" i="20"/>
  <c r="H76" i="20" s="1"/>
  <c r="G353" i="20"/>
  <c r="G375" i="20" l="1"/>
  <c r="H378" i="20"/>
  <c r="G389" i="20"/>
  <c r="H392" i="20"/>
  <c r="G344" i="20"/>
  <c r="H353" i="20"/>
  <c r="G420" i="20"/>
  <c r="H423" i="20"/>
  <c r="G748" i="20"/>
  <c r="H753" i="20"/>
  <c r="G365" i="20"/>
  <c r="G73" i="20"/>
  <c r="H73" i="20" s="1"/>
  <c r="G329" i="20"/>
  <c r="H329" i="20" s="1"/>
  <c r="H420" i="20" l="1"/>
  <c r="G404" i="20"/>
  <c r="G386" i="20"/>
  <c r="H389" i="20"/>
  <c r="H748" i="20"/>
  <c r="G744" i="20"/>
  <c r="G339" i="20"/>
  <c r="H344" i="20"/>
  <c r="G372" i="20"/>
  <c r="H375" i="20"/>
  <c r="G364" i="20"/>
  <c r="H365" i="20"/>
  <c r="G328" i="20"/>
  <c r="H328" i="20" s="1"/>
  <c r="G326" i="20"/>
  <c r="H326" i="20" s="1"/>
  <c r="G385" i="20" l="1"/>
  <c r="H386" i="20"/>
  <c r="G743" i="20"/>
  <c r="H744" i="20"/>
  <c r="G403" i="20"/>
  <c r="H404" i="20"/>
  <c r="G334" i="20"/>
  <c r="H334" i="20" s="1"/>
  <c r="H339" i="20"/>
  <c r="G371" i="20"/>
  <c r="H372" i="20"/>
  <c r="G363" i="20"/>
  <c r="H364" i="20"/>
  <c r="G325" i="20"/>
  <c r="H325" i="20" s="1"/>
  <c r="G69" i="20"/>
  <c r="H69" i="20" s="1"/>
  <c r="G742" i="20" l="1"/>
  <c r="H743" i="20"/>
  <c r="G370" i="20"/>
  <c r="H371" i="20"/>
  <c r="G402" i="20"/>
  <c r="H402" i="20" s="1"/>
  <c r="H403" i="20"/>
  <c r="G384" i="20"/>
  <c r="H385" i="20"/>
  <c r="G362" i="20"/>
  <c r="H362" i="20" s="1"/>
  <c r="H363" i="20"/>
  <c r="G66" i="20"/>
  <c r="H66" i="20" s="1"/>
  <c r="G383" i="20" l="1"/>
  <c r="H384" i="20"/>
  <c r="G369" i="20"/>
  <c r="H370" i="20"/>
  <c r="G741" i="20"/>
  <c r="H742" i="20"/>
  <c r="G321" i="20"/>
  <c r="H321" i="20" s="1"/>
  <c r="H369" i="20" l="1"/>
  <c r="G361" i="20"/>
  <c r="G740" i="20"/>
  <c r="H741" i="20"/>
  <c r="G382" i="20"/>
  <c r="H383" i="20"/>
  <c r="G357" i="20"/>
  <c r="G320" i="20"/>
  <c r="G305" i="20"/>
  <c r="G350" i="20" l="1"/>
  <c r="H357" i="20"/>
  <c r="G737" i="20"/>
  <c r="H740" i="20"/>
  <c r="G292" i="20"/>
  <c r="H305" i="20"/>
  <c r="H361" i="20"/>
  <c r="H320" i="20"/>
  <c r="H382" i="20"/>
  <c r="G381" i="20"/>
  <c r="H381" i="20" s="1"/>
  <c r="G270" i="20"/>
  <c r="H270" i="20" s="1"/>
  <c r="G310" i="20"/>
  <c r="G360" i="20" l="1"/>
  <c r="H360" i="20" s="1"/>
  <c r="G736" i="20"/>
  <c r="H737" i="20"/>
  <c r="G309" i="20"/>
  <c r="H310" i="20"/>
  <c r="G277" i="20"/>
  <c r="H277" i="20" s="1"/>
  <c r="H292" i="20"/>
  <c r="G349" i="20"/>
  <c r="H350" i="20"/>
  <c r="G301" i="20"/>
  <c r="G262" i="20"/>
  <c r="H262" i="20" s="1"/>
  <c r="G735" i="20" l="1"/>
  <c r="H736" i="20"/>
  <c r="G348" i="20"/>
  <c r="H349" i="20"/>
  <c r="G304" i="20"/>
  <c r="H304" i="20" s="1"/>
  <c r="H309" i="20"/>
  <c r="H301" i="20"/>
  <c r="G288" i="20"/>
  <c r="G255" i="20"/>
  <c r="H255" i="20" s="1"/>
  <c r="G300" i="20" l="1"/>
  <c r="G299" i="20" s="1"/>
  <c r="G343" i="20"/>
  <c r="H348" i="20"/>
  <c r="G287" i="20"/>
  <c r="H288" i="20"/>
  <c r="G734" i="20"/>
  <c r="H735" i="20"/>
  <c r="G276" i="20"/>
  <c r="G242" i="20"/>
  <c r="H242" i="20" s="1"/>
  <c r="H300" i="20" l="1"/>
  <c r="G731" i="20"/>
  <c r="H734" i="20"/>
  <c r="G338" i="20"/>
  <c r="H343" i="20"/>
  <c r="G275" i="20"/>
  <c r="H276" i="20"/>
  <c r="H287" i="20"/>
  <c r="G298" i="20"/>
  <c r="H299" i="20"/>
  <c r="G241" i="20"/>
  <c r="G234" i="20"/>
  <c r="G333" i="20" l="1"/>
  <c r="H338" i="20"/>
  <c r="H234" i="20"/>
  <c r="G240" i="20"/>
  <c r="H241" i="20"/>
  <c r="H298" i="20"/>
  <c r="G274" i="20"/>
  <c r="H275" i="20"/>
  <c r="G730" i="20"/>
  <c r="H731" i="20"/>
  <c r="G233" i="20"/>
  <c r="H233" i="20" s="1"/>
  <c r="G223" i="20"/>
  <c r="H223" i="20" s="1"/>
  <c r="G230" i="20"/>
  <c r="H230" i="20" s="1"/>
  <c r="G729" i="20" l="1"/>
  <c r="H730" i="20"/>
  <c r="G273" i="20"/>
  <c r="H274" i="20"/>
  <c r="G239" i="20"/>
  <c r="H240" i="20"/>
  <c r="H333" i="20"/>
  <c r="G319" i="20"/>
  <c r="G229" i="20"/>
  <c r="G222" i="20"/>
  <c r="G205" i="20"/>
  <c r="H205" i="20" s="1"/>
  <c r="G314" i="20" l="1"/>
  <c r="H319" i="20"/>
  <c r="G228" i="20"/>
  <c r="H229" i="20"/>
  <c r="H273" i="20"/>
  <c r="G238" i="20"/>
  <c r="H238" i="20" s="1"/>
  <c r="H239" i="20"/>
  <c r="G724" i="20"/>
  <c r="H729" i="20"/>
  <c r="G221" i="20"/>
  <c r="H222" i="20"/>
  <c r="G204" i="20"/>
  <c r="G197" i="20"/>
  <c r="G177" i="20" l="1"/>
  <c r="H197" i="20"/>
  <c r="G203" i="20"/>
  <c r="H204" i="20"/>
  <c r="G227" i="20"/>
  <c r="H228" i="20"/>
  <c r="H724" i="20"/>
  <c r="G718" i="20"/>
  <c r="G313" i="20"/>
  <c r="H314" i="20"/>
  <c r="G220" i="20"/>
  <c r="H221" i="20"/>
  <c r="G196" i="20"/>
  <c r="H196" i="20" s="1"/>
  <c r="G134" i="20"/>
  <c r="H134" i="20" s="1"/>
  <c r="G193" i="20"/>
  <c r="H193" i="20" s="1"/>
  <c r="G717" i="20" l="1"/>
  <c r="H718" i="20"/>
  <c r="G202" i="20"/>
  <c r="H203" i="20"/>
  <c r="H313" i="20"/>
  <c r="G297" i="20"/>
  <c r="H227" i="20"/>
  <c r="G137" i="20"/>
  <c r="H137" i="20" s="1"/>
  <c r="H177" i="20"/>
  <c r="G219" i="20"/>
  <c r="H220" i="20"/>
  <c r="G261" i="20"/>
  <c r="G192" i="20"/>
  <c r="G151" i="20"/>
  <c r="G131" i="20"/>
  <c r="H131" i="20" s="1"/>
  <c r="G150" i="20" l="1"/>
  <c r="H151" i="20"/>
  <c r="G201" i="20"/>
  <c r="H201" i="20" s="1"/>
  <c r="H202" i="20"/>
  <c r="G296" i="20"/>
  <c r="H297" i="20"/>
  <c r="G191" i="20"/>
  <c r="H192" i="20"/>
  <c r="G716" i="20"/>
  <c r="H717" i="20"/>
  <c r="G260" i="20"/>
  <c r="H261" i="20"/>
  <c r="G218" i="20"/>
  <c r="H219" i="20"/>
  <c r="G130" i="20"/>
  <c r="H130" i="20" s="1"/>
  <c r="G128" i="20"/>
  <c r="H128" i="20" s="1"/>
  <c r="G190" i="20" l="1"/>
  <c r="H191" i="20"/>
  <c r="G715" i="20"/>
  <c r="H716" i="20"/>
  <c r="G291" i="20"/>
  <c r="H296" i="20"/>
  <c r="G149" i="20"/>
  <c r="H150" i="20"/>
  <c r="G210" i="20"/>
  <c r="H218" i="20"/>
  <c r="G259" i="20"/>
  <c r="H260" i="20"/>
  <c r="G127" i="20"/>
  <c r="H127" i="20" s="1"/>
  <c r="G125" i="20"/>
  <c r="H125" i="20" s="1"/>
  <c r="G148" i="20" l="1"/>
  <c r="H149" i="20"/>
  <c r="G714" i="20"/>
  <c r="H715" i="20"/>
  <c r="G209" i="20"/>
  <c r="H210" i="20"/>
  <c r="H291" i="20"/>
  <c r="G286" i="20"/>
  <c r="H190" i="20"/>
  <c r="G258" i="20"/>
  <c r="H259" i="20"/>
  <c r="G124" i="20"/>
  <c r="G113" i="20"/>
  <c r="G285" i="20" l="1"/>
  <c r="H286" i="20"/>
  <c r="G707" i="20"/>
  <c r="H714" i="20"/>
  <c r="G107" i="20"/>
  <c r="H107" i="20" s="1"/>
  <c r="H113" i="20"/>
  <c r="H124" i="20"/>
  <c r="G208" i="20"/>
  <c r="H209" i="20"/>
  <c r="H148" i="20"/>
  <c r="G257" i="20"/>
  <c r="H258" i="20"/>
  <c r="G110" i="20"/>
  <c r="G49" i="20"/>
  <c r="G106" i="20" l="1"/>
  <c r="H106" i="20" s="1"/>
  <c r="G109" i="20"/>
  <c r="H109" i="20" s="1"/>
  <c r="H110" i="20"/>
  <c r="G706" i="20"/>
  <c r="H707" i="20"/>
  <c r="G39" i="20"/>
  <c r="H49" i="20"/>
  <c r="G207" i="20"/>
  <c r="H208" i="20"/>
  <c r="G284" i="20"/>
  <c r="H285" i="20"/>
  <c r="G254" i="20"/>
  <c r="H257" i="20"/>
  <c r="G29" i="20"/>
  <c r="G105" i="20" l="1"/>
  <c r="G104" i="20" s="1"/>
  <c r="H207" i="20"/>
  <c r="G189" i="20"/>
  <c r="H189" i="20" s="1"/>
  <c r="G701" i="20"/>
  <c r="H706" i="20"/>
  <c r="G28" i="20"/>
  <c r="H29" i="20"/>
  <c r="H284" i="20"/>
  <c r="G272" i="20"/>
  <c r="G22" i="20"/>
  <c r="H22" i="20" s="1"/>
  <c r="H39" i="20"/>
  <c r="G253" i="20"/>
  <c r="H254" i="20"/>
  <c r="G87" i="20"/>
  <c r="G18" i="20"/>
  <c r="H105" i="20" l="1"/>
  <c r="G84" i="20"/>
  <c r="H87" i="20"/>
  <c r="H701" i="20"/>
  <c r="G697" i="20"/>
  <c r="G103" i="20"/>
  <c r="H104" i="20"/>
  <c r="G269" i="20"/>
  <c r="H272" i="20"/>
  <c r="H18" i="20"/>
  <c r="G27" i="20"/>
  <c r="H28" i="20"/>
  <c r="G252" i="20"/>
  <c r="H253" i="20"/>
  <c r="G26" i="20" l="1"/>
  <c r="H27" i="20"/>
  <c r="G696" i="20"/>
  <c r="H697" i="20"/>
  <c r="G268" i="20"/>
  <c r="H269" i="20"/>
  <c r="G102" i="20"/>
  <c r="H103" i="20"/>
  <c r="G81" i="20"/>
  <c r="H84" i="20"/>
  <c r="G251" i="20"/>
  <c r="H252" i="20"/>
  <c r="G99" i="20" l="1"/>
  <c r="H102" i="20"/>
  <c r="G695" i="20"/>
  <c r="H696" i="20"/>
  <c r="G78" i="20"/>
  <c r="H81" i="20"/>
  <c r="G267" i="20"/>
  <c r="H268" i="20"/>
  <c r="G21" i="20"/>
  <c r="H26" i="20"/>
  <c r="G250" i="20"/>
  <c r="H251" i="20"/>
  <c r="G266" i="20" l="1"/>
  <c r="H267" i="20"/>
  <c r="G694" i="20"/>
  <c r="H695" i="20"/>
  <c r="H21" i="20"/>
  <c r="G17" i="20"/>
  <c r="G75" i="20"/>
  <c r="H78" i="20"/>
  <c r="G98" i="20"/>
  <c r="H99" i="20"/>
  <c r="G247" i="20"/>
  <c r="H250" i="20"/>
  <c r="G246" i="20" l="1"/>
  <c r="H247" i="20"/>
  <c r="G72" i="20"/>
  <c r="H75" i="20"/>
  <c r="G693" i="20"/>
  <c r="H694" i="20"/>
  <c r="G16" i="20"/>
  <c r="H17" i="20"/>
  <c r="G97" i="20"/>
  <c r="H98" i="20"/>
  <c r="H266" i="20"/>
  <c r="G15" i="20" l="1"/>
  <c r="H16" i="20"/>
  <c r="G71" i="20"/>
  <c r="H72" i="20"/>
  <c r="G94" i="20"/>
  <c r="H97" i="20"/>
  <c r="G690" i="20"/>
  <c r="H693" i="20"/>
  <c r="G245" i="20"/>
  <c r="H246" i="20"/>
  <c r="G91" i="20" l="1"/>
  <c r="H94" i="20"/>
  <c r="G244" i="20"/>
  <c r="H245" i="20"/>
  <c r="G12" i="20"/>
  <c r="H15" i="20"/>
  <c r="G687" i="20"/>
  <c r="H690" i="20"/>
  <c r="G68" i="20"/>
  <c r="H71" i="20"/>
  <c r="G684" i="20" l="1"/>
  <c r="H687" i="20"/>
  <c r="H244" i="20"/>
  <c r="G226" i="20"/>
  <c r="G65" i="20"/>
  <c r="H68" i="20"/>
  <c r="G11" i="20"/>
  <c r="H12" i="20"/>
  <c r="H91" i="20"/>
  <c r="G90" i="20"/>
  <c r="H90" i="20" s="1"/>
  <c r="G64" i="20" l="1"/>
  <c r="H65" i="20"/>
  <c r="G683" i="20"/>
  <c r="H684" i="20"/>
  <c r="H226" i="20"/>
  <c r="G225" i="20"/>
  <c r="H225" i="20" s="1"/>
  <c r="G10" i="20"/>
  <c r="H11" i="20"/>
  <c r="G265" i="20"/>
  <c r="G9" i="20" l="1"/>
  <c r="H9" i="20" s="1"/>
  <c r="H10" i="20"/>
  <c r="G682" i="20"/>
  <c r="H683" i="20"/>
  <c r="G264" i="20"/>
  <c r="H264" i="20" s="1"/>
  <c r="H265" i="20"/>
  <c r="H64" i="20"/>
  <c r="G63" i="20"/>
  <c r="G188" i="20"/>
  <c r="G59" i="20" l="1"/>
  <c r="H63" i="20"/>
  <c r="G681" i="20"/>
  <c r="H682" i="20"/>
  <c r="G185" i="20"/>
  <c r="H188" i="20"/>
  <c r="G678" i="20" l="1"/>
  <c r="H681" i="20"/>
  <c r="G184" i="20"/>
  <c r="H185" i="20"/>
  <c r="G53" i="20"/>
  <c r="H59" i="20"/>
  <c r="G183" i="20" l="1"/>
  <c r="H184" i="20"/>
  <c r="G46" i="20"/>
  <c r="H53" i="20"/>
  <c r="G677" i="20"/>
  <c r="H678" i="20"/>
  <c r="G43" i="20" l="1"/>
  <c r="H46" i="20"/>
  <c r="G674" i="20"/>
  <c r="H677" i="20"/>
  <c r="G174" i="20"/>
  <c r="H183" i="20"/>
  <c r="G669" i="20" l="1"/>
  <c r="H674" i="20"/>
  <c r="G173" i="20"/>
  <c r="H174" i="20"/>
  <c r="G36" i="20"/>
  <c r="H43" i="20"/>
  <c r="G172" i="20" l="1"/>
  <c r="H173" i="20"/>
  <c r="G35" i="20"/>
  <c r="H36" i="20"/>
  <c r="G668" i="20"/>
  <c r="H669" i="20"/>
  <c r="G34" i="20" l="1"/>
  <c r="H35" i="20"/>
  <c r="G665" i="20"/>
  <c r="H668" i="20"/>
  <c r="G171" i="20"/>
  <c r="H172" i="20"/>
  <c r="H665" i="20" l="1"/>
  <c r="G170" i="20"/>
  <c r="H171" i="20"/>
  <c r="G33" i="20"/>
  <c r="H34" i="20"/>
  <c r="G167" i="20" l="1"/>
  <c r="H170" i="20"/>
  <c r="G32" i="20"/>
  <c r="H33" i="20"/>
  <c r="G660" i="20"/>
  <c r="G8" i="20" l="1"/>
  <c r="H32" i="20"/>
  <c r="G659" i="20"/>
  <c r="H660" i="20"/>
  <c r="G166" i="20"/>
  <c r="H167" i="20"/>
  <c r="G658" i="20" l="1"/>
  <c r="H659" i="20"/>
  <c r="G163" i="20"/>
  <c r="H166" i="20"/>
  <c r="H8" i="20"/>
  <c r="G160" i="20" l="1"/>
  <c r="H163" i="20"/>
  <c r="G657" i="20"/>
  <c r="H658" i="20"/>
  <c r="G656" i="20" l="1"/>
  <c r="H657" i="20"/>
  <c r="G156" i="20"/>
  <c r="H160" i="20"/>
  <c r="G155" i="20" l="1"/>
  <c r="H156" i="20"/>
  <c r="G653" i="20"/>
  <c r="H656" i="20"/>
  <c r="G650" i="20" l="1"/>
  <c r="H653" i="20"/>
  <c r="G154" i="20"/>
  <c r="H155" i="20"/>
  <c r="H154" i="20" l="1"/>
  <c r="G147" i="20"/>
  <c r="G643" i="20"/>
  <c r="H650" i="20"/>
  <c r="G640" i="20" l="1"/>
  <c r="H643" i="20"/>
  <c r="H147" i="20"/>
  <c r="G141" i="20" l="1"/>
  <c r="G637" i="20"/>
  <c r="H640" i="20"/>
  <c r="G634" i="20" l="1"/>
  <c r="H637" i="20"/>
  <c r="G140" i="20"/>
  <c r="H141" i="20"/>
  <c r="G139" i="20" l="1"/>
  <c r="H140" i="20"/>
  <c r="G633" i="20"/>
  <c r="H634" i="20"/>
  <c r="G630" i="20" l="1"/>
  <c r="H633" i="20"/>
  <c r="G136" i="20"/>
  <c r="H139" i="20"/>
  <c r="G133" i="20" l="1"/>
  <c r="H136" i="20"/>
  <c r="G627" i="20"/>
  <c r="H630" i="20"/>
  <c r="H627" i="20" l="1"/>
  <c r="G623" i="20"/>
  <c r="H133" i="20"/>
  <c r="G123" i="20"/>
  <c r="H623" i="20" l="1"/>
  <c r="G622" i="20"/>
  <c r="G122" i="20"/>
  <c r="H123" i="20"/>
  <c r="G117" i="20" l="1"/>
  <c r="H122" i="20"/>
  <c r="G621" i="20"/>
  <c r="H622" i="20"/>
  <c r="G620" i="20" l="1"/>
  <c r="H621" i="20"/>
  <c r="H117" i="20"/>
  <c r="G7" i="20"/>
  <c r="H7" i="20" l="1"/>
  <c r="H620" i="20"/>
  <c r="G605" i="20"/>
  <c r="H605" i="20" s="1"/>
  <c r="G6" i="20" l="1"/>
  <c r="H6" i="20" s="1"/>
</calcChain>
</file>

<file path=xl/sharedStrings.xml><?xml version="1.0" encoding="utf-8"?>
<sst xmlns="http://schemas.openxmlformats.org/spreadsheetml/2006/main" count="12079" uniqueCount="797">
  <si>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</si>
  <si>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</si>
  <si>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</si>
  <si>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</si>
  <si>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</si>
  <si>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</si>
  <si>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</si>
  <si>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</si>
  <si>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</si>
  <si>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</si>
  <si>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</si>
  <si>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</si>
  <si>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</si>
  <si>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</si>
  <si>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</si>
  <si>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</si>
  <si>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</si>
  <si>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</si>
  <si>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</si>
  <si>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</si>
  <si>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</si>
  <si>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</si>
  <si>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</si>
  <si>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</si>
  <si>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</si>
  <si>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</si>
  <si>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 xml:space="preserve">Расходы на выплаты по оплате труда работников органов местного самоуправления  </t>
  </si>
  <si>
    <t>Расходы на осуществление полномочий Республики Северная Осетия-Алания по организации деятельности административных комиссий</t>
  </si>
  <si>
    <t>Осуществление полномочий Республики Северная Осетия-Алания по организации и поддержки учреждений культуры</t>
  </si>
  <si>
    <t>Непрограммные расходы на обеспечения функционирования Собрания представителей г.Владикавказ</t>
  </si>
  <si>
    <t>Расходы на выплаты по оплате труда работников представительного органа</t>
  </si>
  <si>
    <t>Субвенции бюджетам субъектов Российской Федерации и муниципальных образований</t>
  </si>
  <si>
    <t>Подраздел</t>
  </si>
  <si>
    <t>Раздел</t>
  </si>
  <si>
    <t>Непрограммные расходы представительного органа</t>
  </si>
  <si>
    <t>Расходы на выплаты по оплате труда работников административной коммиссии</t>
  </si>
  <si>
    <t>Софинансирование местного бюджета городского округа г. Владикавказ на реализацию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</si>
  <si>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>Расходы на выплаты персоналу Контрольно-счетной палаты муниципального образования г.Владикавказ (Дзауджикау)</t>
  </si>
  <si>
    <t>Расходы на обеспечение функций Контрольно-счетной палаты муниципального образования г.Владикавказ (Дзауджикау)</t>
  </si>
  <si>
    <t>Подпрограмма "Обеспечение защиты информации"</t>
  </si>
  <si>
    <t>01 3 00 00000</t>
  </si>
  <si>
    <t>Мероприятие "Приобретение антивирусного программного обеспечения"</t>
  </si>
  <si>
    <t>Расходы на содержание ВМКУ "Управление по делам ГО и ЧС"</t>
  </si>
  <si>
    <t>03 3 0Р S6740</t>
  </si>
  <si>
    <t>03 3 0М S6740</t>
  </si>
  <si>
    <t xml:space="preserve">Софинансирование на обеспечение мероприятий по формированию современной городской среды </t>
  </si>
  <si>
    <t>Расходы на содержание ВМКУ "ТИЦ - Владикавказ - ТВ"</t>
  </si>
  <si>
    <t>Субсидии бюджетам субъектов РФ и муниципальных образований (межбюджетные субсидии)</t>
  </si>
  <si>
    <t xml:space="preserve">Расходы на обеспечение деятельности (оказания услуг)  муниципального учреждения ВМБУ РГГ "Владикавказ"   </t>
  </si>
  <si>
    <t>Мероприятие "Оказание материальной помощи малообеспеченным семьям (одиноко проживающим гражданам) по обращениям"</t>
  </si>
  <si>
    <t>Расходы на учреждение по обеспечению хозяйственного обслуживания ВМКУ ТХО АМС г. Владикавказа</t>
  </si>
  <si>
    <t>Подпрограмма "Обеспечение деятельности муниципальных учреждений подведомственных КМПФКС АМС г.Владикавказа"</t>
  </si>
  <si>
    <t>11 0 00 00000</t>
  </si>
  <si>
    <t>11 3 00 00000</t>
  </si>
  <si>
    <t>Мероприятие "Обеспечение деятельности учреждений дополнительного образования детей"</t>
  </si>
  <si>
    <t>Подпрограмма "Реализация мероприятий в области  молодежной политики"</t>
  </si>
  <si>
    <t>11 1 00 00000</t>
  </si>
  <si>
    <t>99 9 00 00104</t>
  </si>
  <si>
    <t>Подпрограмма "Поддержка и совершенствование информационно-коммуникационной инфраструктуры"</t>
  </si>
  <si>
    <t>Подпрограмма "Капитальный ремонт  многоквартирных домов в г.Владикавказе"</t>
  </si>
  <si>
    <t>Мероприятие "Содержание бюджетных учреждений жилищно-коммунального хозяйства"</t>
  </si>
  <si>
    <t>Мероприятие "Содержание казенных учреждений жилищно-коммунального хозяйства"</t>
  </si>
  <si>
    <t>Субвенции бюджетам городских округов на выполнение передаваемых полномочий субъектов Российской Федерации (организация деятельности административных комиссий)</t>
  </si>
  <si>
    <t>Физическая культура</t>
  </si>
  <si>
    <t>Подпрограмма "Реализация мероприятий в области физической культуре и спорта, пропаганда здорового образа жизни"</t>
  </si>
  <si>
    <t>Мероприятие "Субсидия социально-ориентированным некоммерческим организациям патриотической направленности"</t>
  </si>
  <si>
    <t>11 2 00 00000</t>
  </si>
  <si>
    <t>Подпрограмма "Обеспечение деятельности аппарата КМПФКС АМС г.Владикавказа"</t>
  </si>
  <si>
    <t>11 4 00 00000</t>
  </si>
  <si>
    <t>11 4 00 00110</t>
  </si>
  <si>
    <t>11 4 00 00190</t>
  </si>
  <si>
    <t>Управление муниципального имущества и земельных ресурсов АМС г. Владикавказа</t>
  </si>
  <si>
    <t>08 4 00 00110</t>
  </si>
  <si>
    <t>08 4 00 00190</t>
  </si>
  <si>
    <t xml:space="preserve">Непрограммные расходы органов местного самоуправления </t>
  </si>
  <si>
    <t>Подпрограмма «Развитие культурной жизни г.Владикавказа»</t>
  </si>
  <si>
    <t>01</t>
  </si>
  <si>
    <t>00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</si>
  <si>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</si>
  <si>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</si>
  <si>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</si>
  <si>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</si>
  <si>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</si>
  <si>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обеспечение функций органов местного самоуправления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</si>
  <si>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</si>
  <si>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</si>
  <si>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</si>
  <si>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</si>
  <si>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</si>
  <si>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850</t>
  </si>
  <si>
    <t>11</t>
  </si>
  <si>
    <t>Резервный фонд администрации местного самоуправления</t>
  </si>
  <si>
    <t>Резервные средства</t>
  </si>
  <si>
    <t>13</t>
  </si>
  <si>
    <t>300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</si>
  <si>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</si>
  <si>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</si>
  <si>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320</t>
  </si>
  <si>
    <t>000 1 11 05000 04 0000 120</t>
  </si>
  <si>
    <t>Подпрограмма «Обеспечение деятельности и выполнения функций УТДС АМС г.Владикавказа»</t>
  </si>
  <si>
    <t xml:space="preserve">Обеспечение функционирования Финансового управления АМС  г.Владикавказ </t>
  </si>
  <si>
    <t>Расходы на выплаты по оплате труда работников Финансового управления АМС  г.Владикавказ</t>
  </si>
  <si>
    <t>Расходы на обеспечение функций Финансового управления АМС  г.Владикавказ</t>
  </si>
  <si>
    <t>12 0 00 00000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</si>
  <si>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</si>
  <si>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</si>
  <si>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000 8 50 00000 00 0000 000</t>
  </si>
  <si>
    <t>ВСЕГО ДОХОДОВ</t>
  </si>
  <si>
    <t xml:space="preserve">Иные непрограммные расходы </t>
  </si>
  <si>
    <t>Мероприятие "Проведение праздничных  мероприятий"</t>
  </si>
  <si>
    <t>Наименование</t>
  </si>
  <si>
    <t>Целевая статья расходов</t>
  </si>
  <si>
    <t>Вид расхода</t>
  </si>
  <si>
    <t>ВСЕГО РАСХОДОВ</t>
  </si>
  <si>
    <t>ОБЩЕГОСУДАРСТВЕННЫЕ ВОПРОСЫ</t>
  </si>
  <si>
    <t>Получение кредитов от кредитных организаций бюджетами городских округов в валюте Российской Федерации</t>
  </si>
  <si>
    <t>ИСТОЧНИКИ ВНУТРЕННЕГО ФИНАНСИРОВАНИЯ ДЕФИЦИТОВ БЮДЖЕТА</t>
  </si>
  <si>
    <t>Получение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</si>
  <si>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 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</si>
  <si>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</t>
  </si>
  <si>
    <t xml:space="preserve">Погашение кредитов, полученных от кредитных организаций бюджетами городских округов в валюте Российской Федерации </t>
  </si>
  <si>
    <t>000 1 03 02000 00 0000 000</t>
  </si>
  <si>
    <t>000 1 05 04000 02 0000 110</t>
  </si>
  <si>
    <t>000 1 11 05012 04 0000 120</t>
  </si>
  <si>
    <t>000 1 13 00000 01 0000 130</t>
  </si>
  <si>
    <t>Подпрограмма "Энергосбережение и повышение энергетической эффективности на территории города Владикавказа"</t>
  </si>
  <si>
    <t>09 7 00 00000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</si>
  <si>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</si>
  <si>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Расходы на содержание ВМБУ "Центр цифрового развития и информационных технологий"</t>
  </si>
  <si>
    <t>01 1 02 00107</t>
  </si>
  <si>
    <t>Расходы на возмещение стоимости изымаемых для муниципальных нужд жилых и нежилых помещений в аварийных домах на основании судебных решений</t>
  </si>
  <si>
    <t>Выкуп нежилых помещений в аварийных домах</t>
  </si>
  <si>
    <t>99 9 00 00105</t>
  </si>
  <si>
    <t>000 1 14 02043 04 0000 410</t>
  </si>
  <si>
    <t>Субвенции бюджетам городских округов на выполнение передаваемых полномочий субъектов  Российской Федерации</t>
  </si>
  <si>
    <t>612</t>
  </si>
  <si>
    <t>Мероприятие "Проектные работы"</t>
  </si>
  <si>
    <t>78 9 00 00000</t>
  </si>
  <si>
    <t>07 2 01 00000</t>
  </si>
  <si>
    <t>Субсидии некоммерческим организациям (за исключением государственных (муниципальных) учреждений)</t>
  </si>
  <si>
    <t>605</t>
  </si>
  <si>
    <t>Управление благоустройства и озеленения администрации местного самоуправления г.Владикавказ</t>
  </si>
  <si>
    <t>Расходы на обеспечение функций представительного органа</t>
  </si>
  <si>
    <t>Осуществление полномочий Республики Северная Осетия-Алания по организации работы детских оздоровительных лагерей дневного пребывания детей при муниципальных образовательных учреждениях республики в каникулярное время</t>
  </si>
  <si>
    <t>000 1 03 00000 00 0000 000</t>
  </si>
  <si>
    <t>Налоги на товары( работы, услуги) реализуемые на территории РФ</t>
  </si>
  <si>
    <t>000 1 06 02000 02 0000 110</t>
  </si>
  <si>
    <t>Налог на имущество организаций</t>
  </si>
  <si>
    <t>Прочие неналоговые доходы</t>
  </si>
  <si>
    <t>000 1 17 00000 00 0000 180</t>
  </si>
  <si>
    <t>Исполнение судебных актов</t>
  </si>
  <si>
    <t>Подпрограмма "Обеспечение деятельности и выполнения функций Комитета ЖКХЭ"</t>
  </si>
  <si>
    <t>09 4 00 00000</t>
  </si>
  <si>
    <t>Подпрограмма "Техническое оснащение коммунальной инфраструктуры г.Владикавказ"</t>
  </si>
  <si>
    <t>830</t>
  </si>
  <si>
    <t>Уплата прочих налогов, сборов и иных платежей</t>
  </si>
  <si>
    <t>Иные источники внутреннего финансирования дефицитов бюджетов</t>
  </si>
  <si>
    <t>Публичные нормативные социальные выплаты гражданам</t>
  </si>
  <si>
    <t>Обеспечение функционирования Главы  муниципального образования</t>
  </si>
  <si>
    <t>Взносы за капитальный ремонт квартир и домовладений, находящихся в муниципальной собственности</t>
  </si>
  <si>
    <t xml:space="preserve">СУММА                         </t>
  </si>
  <si>
    <t>Закупка товаров, работ и услугдля государственных (муниципальных) нужд</t>
  </si>
  <si>
    <t>07 0 00 00000</t>
  </si>
  <si>
    <t>07 1 00 00000</t>
  </si>
  <si>
    <t>07 1 01 00000</t>
  </si>
  <si>
    <t>07 1 0Р 21240</t>
  </si>
  <si>
    <t>Управление транспорта и дорожного строительства администрации местного самоуправления города Владикавказа</t>
  </si>
  <si>
    <t>602</t>
  </si>
  <si>
    <t>07 1 02 00000</t>
  </si>
  <si>
    <t>07 1 03 00000</t>
  </si>
  <si>
    <t>07 2 00 00000</t>
  </si>
  <si>
    <t>07 3 00 00000</t>
  </si>
  <si>
    <t>07 4 00 00000</t>
  </si>
  <si>
    <t>Мероприятие "Обеспечение деятельности (оказания услуг) ВМКУ "Организационно-методический центр"</t>
  </si>
  <si>
    <t>Мероприятие "Ремонт школ и детских садов"</t>
  </si>
  <si>
    <t>99 9 0Р 00000</t>
  </si>
  <si>
    <t>01 1 00 00000</t>
  </si>
  <si>
    <t>Мероприятие "Обеспечение деятельности Управления образования АМС г.Владикавказа"</t>
  </si>
  <si>
    <t>Мероприятие "Оказание адресной поддержки детям из малообеспеченных семей, в ходе подготовки к новому учебному году"</t>
  </si>
  <si>
    <t>Мероприятие "Обеспечение горячим питанием детей из малообеспеченных семей"</t>
  </si>
  <si>
    <t>Налог взимаемый в связи с применением патентной системы налогообложения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</si>
  <si>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 образования в муниципальных дошкольных образовательных организациях)</t>
  </si>
  <si>
    <t>Субвенции бюджетам городских округов на выполнение передаваемых полномочий субъектов Российской Федерации (оздоровительная кампания)</t>
  </si>
  <si>
    <t>Субвенции бюджетам городских округов на выполнение передаваемых полномочий субъектов Российской Федерации (организация и поддержка учреждений культуры)</t>
  </si>
  <si>
    <t>Правобережная администрация (префектура) г.Владикавказа</t>
  </si>
  <si>
    <t>Левобережная администрация (префектура) г.Владикавказа</t>
  </si>
  <si>
    <t>601</t>
  </si>
  <si>
    <t>Комитет молодежной политики, физической культуры и спорта администрации местного самоуправления г.Владикавказа</t>
  </si>
  <si>
    <t>Другие вопросы в области физической культуры и спорта</t>
  </si>
  <si>
    <t>Закупка товаров, работ, услуг для государственных (муниципальных) нужд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</si>
  <si>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</si>
  <si>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</si>
  <si>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</si>
  <si>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</si>
  <si>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</si>
  <si>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</si>
  <si>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</si>
  <si>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</si>
  <si>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</si>
  <si>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</si>
  <si>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</si>
  <si>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</si>
  <si>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</si>
  <si>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</si>
  <si>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</si>
  <si>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</si>
  <si>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000 01 03 01 00 04 0000 710</t>
  </si>
  <si>
    <t>000 01 03 01 00 00 0000 700</t>
  </si>
  <si>
    <t>000 01 03 01 00 00 0000 800</t>
  </si>
  <si>
    <t>000 01 03 01 00 04 0000 810</t>
  </si>
  <si>
    <t xml:space="preserve">Бюджетные кредиты от других бюджетов бюджетной системы Российской Федерации
</t>
  </si>
  <si>
    <t>88 0 00 00000</t>
  </si>
  <si>
    <t>88 9 00 00000</t>
  </si>
  <si>
    <t>88 9 00 00110</t>
  </si>
  <si>
    <t>99 0 00 00000</t>
  </si>
  <si>
    <t>99 9 00 00000</t>
  </si>
  <si>
    <t>99 9 00 00110</t>
  </si>
  <si>
    <t>99 9 00 00190</t>
  </si>
  <si>
    <t>01 0 00 00000</t>
  </si>
  <si>
    <t>05 0 00 00000</t>
  </si>
  <si>
    <t>77 0 00 00000</t>
  </si>
  <si>
    <t>77 9 00 00000</t>
  </si>
  <si>
    <t xml:space="preserve">77 9 00 00000 </t>
  </si>
  <si>
    <t>77 9 00 00110</t>
  </si>
  <si>
    <t xml:space="preserve">77 9 00 00110 </t>
  </si>
  <si>
    <t>78 0 00 00000</t>
  </si>
  <si>
    <t>Капитальные вложения в объекты государственной (муниципальной) собственности</t>
  </si>
  <si>
    <t>Мероприятие "Ремонт зданий муниципальной собственности"</t>
  </si>
  <si>
    <t>Мероприятие "Кредиторская задолженность"</t>
  </si>
  <si>
    <t>78 9 00 00110</t>
  </si>
  <si>
    <t>78 9 00 00190</t>
  </si>
  <si>
    <t>99 9 0Р 22740</t>
  </si>
  <si>
    <t>93 0 00 00000</t>
  </si>
  <si>
    <t>93 9 00 00000</t>
  </si>
  <si>
    <t>93 9 00 00110</t>
  </si>
  <si>
    <t>93 9 00 00190</t>
  </si>
  <si>
    <t>03 0 00 00000</t>
  </si>
  <si>
    <t>03 1 00 00000</t>
  </si>
  <si>
    <t>06 0 00 00000</t>
  </si>
  <si>
    <t>Мероприятие  "Расходы по проектированию, строительству (реконструкции) автомобильных дорог общего пользования местного значения от поступления акцизов"</t>
  </si>
  <si>
    <t>Софинансирование местного бюджета городского округа г. Владикавказ на дорожную деятельность в отношении автомобильных дорог общего пользования местного значения"</t>
  </si>
  <si>
    <t>Мероприятие "Озеленение"</t>
  </si>
  <si>
    <t>09 0 00 00000</t>
  </si>
  <si>
    <t>09 2 00 00000</t>
  </si>
  <si>
    <t>09 1 00 00000</t>
  </si>
  <si>
    <t>Мероприятие "Ремонт квартир и домовладений ветеранов и инвалидов"</t>
  </si>
  <si>
    <t>Мероприятие "Разборка аварийных жилых домов"</t>
  </si>
  <si>
    <t>09 3 00 00000</t>
  </si>
  <si>
    <t>Мероприятие "Уличное освещение"</t>
  </si>
  <si>
    <t>Мероприятие "Прочие мероприятия по благоустройству городских округов и поселений"</t>
  </si>
  <si>
    <t>Мероприятие "Руководство и управление в сфере установленных функций органов местного самоуправления"</t>
  </si>
  <si>
    <t>01 2 00 00000</t>
  </si>
  <si>
    <t>Мероприятие "Приобретение вычислительной техники, комплектующих и прочего оборудования"</t>
  </si>
  <si>
    <t>Мероприятие "Приобретение лицензионного программного обеспечения"</t>
  </si>
  <si>
    <t>04 0 00 00000</t>
  </si>
  <si>
    <t>02 0 00 00000</t>
  </si>
  <si>
    <t>08 0 00 00000</t>
  </si>
  <si>
    <t>08 3 00 00000</t>
  </si>
  <si>
    <t>000 1 11 07014 04 0000 120</t>
  </si>
  <si>
    <t>Мероприятие "Расходы на содержание МКУ "Владлес - Экология"</t>
  </si>
  <si>
    <t>Мероприятие "Содержание учреждений подведомственных УБиО, осуществляющих санитарную очистку г.Владикавказ"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</si>
  <si>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</si>
  <si>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08 2 00 00000</t>
  </si>
  <si>
    <t>Мероприятие "Проведение праздничных мероприятий"</t>
  </si>
  <si>
    <t>Мероприятие "Военно-мемориальная работа"</t>
  </si>
  <si>
    <t>08 3 03 00000</t>
  </si>
  <si>
    <t>08 3 0Р 22000</t>
  </si>
  <si>
    <t>08 3 02 00000</t>
  </si>
  <si>
    <t>Подпрограмма "Обеспечение деятельности аппарата Управления культуры АМС г.Владикавказа"</t>
  </si>
  <si>
    <t>Мероприятие "Финансирование деятельности аппарата Управления культуры АМС г.Владикавказа"</t>
  </si>
  <si>
    <t>08 4 00 00000</t>
  </si>
  <si>
    <t>08 1 00 00000</t>
  </si>
  <si>
    <t>10 0 00 00000</t>
  </si>
  <si>
    <t>Подпрограмма "Развитие системы общего и дополнительного образования"</t>
  </si>
  <si>
    <t>Мероприятие "Обеспечение деятельности (оказания услуг) муниципальных дошкольных образовательных учреждений"</t>
  </si>
  <si>
    <t>Мероприятие "Обеспечение деятельности (оказания услуг) муниципальных образовательных школ"</t>
  </si>
  <si>
    <t>07 1 0Р 21280</t>
  </si>
  <si>
    <t>Дополнительное образование детей</t>
  </si>
  <si>
    <t>Мероприятие "Обеспечение деятельности (оказания услуг) учреждений дополнительного образования"</t>
  </si>
  <si>
    <t>07 1 04 00000</t>
  </si>
  <si>
    <t>Мероприятие "Развитие материально технической базы муниципальных  образовательных  учреждений"</t>
  </si>
  <si>
    <t>07 1 05 00000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</si>
  <si>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</si>
  <si>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 и автономных учреждений, а также имущества муниципальных унитарных предприятий, в том числе казеных)</t>
  </si>
  <si>
    <t>Наименование дохода</t>
  </si>
  <si>
    <t>Доходы от оказания платных услуг (работ) и компенсации затрат государства</t>
  </si>
  <si>
    <t>Субвенции бюджетам городских округов на выполнение передаваемых полномочий субъектов Российской Федерации (по составлению (изменению) списков кандидатов в присяжные заседатели)</t>
  </si>
  <si>
    <t>Мероприятие "Обеспечение безопасного пребывания детей в образовательных  учреждениях"</t>
  </si>
  <si>
    <t>Мероприятие "Проведение городских массовых мероприятий, в том числе направленных на поддержку детей с общеинтеллектуальной и творческой одаренностью"</t>
  </si>
  <si>
    <t>Подпрограмма "Социальная помощь населению: охрана семьи и детства"</t>
  </si>
  <si>
    <t>07 3 0Р 21650</t>
  </si>
  <si>
    <t>07 3 0Р 22270</t>
  </si>
  <si>
    <t>07 4 00 00110</t>
  </si>
  <si>
    <t>07 4 00 00190</t>
  </si>
  <si>
    <t>Мероприятие "Обеспечение деятельности культурно-досуговых учреждений муниципального образования г.Владикавказа"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</si>
  <si>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</si>
  <si>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</si>
  <si>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Муниципальная программа "Профилактика экстремизма и терроризма в городе Владикавказе на 2018-2020 годы"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</si>
  <si>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</si>
  <si>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 xml:space="preserve">Погашение бюджетами городских округов кредитов от других бюджетов бюджетной системы Российской Федерации в валюте Российской Федерации
</t>
  </si>
  <si>
    <t>Управление образования АМС г.Владикавказа</t>
  </si>
  <si>
    <t>Закупка товаров, работ и услуг для государственных (муниципальных) нужд</t>
  </si>
  <si>
    <t>06</t>
  </si>
  <si>
    <t>Расходы на выплаты по оплате труда работников органов местного самоуправления</t>
  </si>
  <si>
    <t>Иные непрограммные расходы</t>
  </si>
  <si>
    <t>Обслуживание государственного (муниципального) долга</t>
  </si>
  <si>
    <t>700</t>
  </si>
  <si>
    <t>Обслуживание муниципального долга</t>
  </si>
  <si>
    <t>Мероприятия по обеспечению приватизации и проведению предпродажной подготовки объектов приватизации</t>
  </si>
  <si>
    <t>Расходы на обеспечение деятельности (оказания услуг) муниципальных образовательных учреждений дополнительного образования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</si>
  <si>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</si>
  <si>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</si>
  <si>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</si>
  <si>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 (исполнительно-распорядительного органа муниципального образования)</t>
  </si>
  <si>
    <t>Изменения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</si>
  <si>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</si>
  <si>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Процентные платежи по долговым обязательствам</t>
  </si>
  <si>
    <t>Резервные фонды</t>
  </si>
  <si>
    <t>Другие общегосударственные вопросы</t>
  </si>
  <si>
    <t>Прочие выплаты по обязательствам государства</t>
  </si>
  <si>
    <t>НАЦИОНАЛЬНАЯ БЕЗОПАСНОСТЬ И ПРАВООХРАНИТЕЛЬНАЯ ДЕЯТЕЛЬНОСТЬ</t>
  </si>
  <si>
    <t>99 9 00 00100</t>
  </si>
  <si>
    <t>99 9 00 00101</t>
  </si>
  <si>
    <t>Занятость школьников в период летних каникул</t>
  </si>
  <si>
    <t>Расходы на выплаты персоналу Финансового управления АМС г.Владикавказ</t>
  </si>
  <si>
    <t>Расходы на обеспечение функций Финансового управления АМС г.Владикавказ</t>
  </si>
  <si>
    <t xml:space="preserve">Непрограммные расходы на обеспечение функционирования Финансового управления АМС  г.Владикавказ </t>
  </si>
  <si>
    <t>99 9 00 00102</t>
  </si>
  <si>
    <t>99 9 00 00103</t>
  </si>
  <si>
    <t>03 4 00 00000</t>
  </si>
  <si>
    <t>03 1 00 00110</t>
  </si>
  <si>
    <t>03 1 00 00190</t>
  </si>
  <si>
    <t>Подпрограмма «Поддержка и развитие городского пассажирского транспорта»</t>
  </si>
  <si>
    <t xml:space="preserve">03 2 00 00000 </t>
  </si>
  <si>
    <t>03 3 00 00000</t>
  </si>
  <si>
    <t>Мероприятие "Содержание ВМКУ «Дорожный фонд»</t>
  </si>
  <si>
    <t>Мероприятие "Содержание ВМБУ «Владикавказские дороги»</t>
  </si>
  <si>
    <t>Мероприятие "Восстановительные работы из тротуарной плитки и декоративного камня, ремонт малых архитектурных форм"</t>
  </si>
  <si>
    <t>Мероприятие "Подготовка проектно-сметной документации и эскизов проектов"</t>
  </si>
  <si>
    <t>Мероприятие "Погашение кредиторской задолженности"</t>
  </si>
  <si>
    <t>Мероприятие "Учреждение конкурса главы АМС г.Владикавказа «Одаренные дети»"</t>
  </si>
  <si>
    <t>Мероприятие «Обеспечение деятельности и выполнения функций УБиО АМС г.Владикавказа»</t>
  </si>
  <si>
    <t>04 0 00 00110</t>
  </si>
  <si>
    <t>04 0 00 00190</t>
  </si>
  <si>
    <t>99 9 00 00134</t>
  </si>
  <si>
    <t>99 9 00 00135</t>
  </si>
  <si>
    <t>99 9 00 00137</t>
  </si>
  <si>
    <t>99 9 00 00138</t>
  </si>
  <si>
    <t>Мероприятие по разработке межевых планов территорий</t>
  </si>
  <si>
    <t>Мероприятие "Устройство, ремонт, покраска металлических ограждений"</t>
  </si>
  <si>
    <t>Мероприятие "Устройство остановочных сооружений"</t>
  </si>
  <si>
    <t>99 9 0Ф 51200</t>
  </si>
  <si>
    <t>Мероприятие "Реконструкция существующего здания художественной школы по пр.Коста, 181"</t>
  </si>
  <si>
    <t>Основное мероприятие "Организация и проведение мероприятий в области молодежной политики"</t>
  </si>
  <si>
    <t>Основное мероприятие "Организация и проведение физкультурных мероприятий и мероприятий, направленных на развитие массового спорта"</t>
  </si>
  <si>
    <t>Мероприятие "Приобретение сувенирной продукции"</t>
  </si>
  <si>
    <t>Мероприятие "Чествование, поздравление работников культуры и творческих коллективов. "Ими гордится Владикавказ"-чествование почетных граждан, заслуженных людей г.Владикавказа"</t>
  </si>
  <si>
    <t>Мероприятие "Установка, реставрация и текущий ремонт памятников и объектов культуры, расположенных на территории г.Владикавказа"</t>
  </si>
  <si>
    <t>Мероприятие «Субсидии юридическим лицам (кроме некоммерческих организаций), индивидуальным предпринимателям, физическим лицам» (возмещение затрат, связанных с содержанием, эксплуатацией и ремонтом сетей уличного освещения)»</t>
  </si>
  <si>
    <t>,</t>
  </si>
  <si>
    <t>Подпрограмма "Гражданское и патриотическое воспитание граждан г.Владикавказа"</t>
  </si>
  <si>
    <t>Подпрограмма  «Обеспечение деятельности муниципальных учреждений культуры» г.Владикавказа»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</si>
  <si>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</si>
  <si>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</si>
  <si>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Осуществление полномочий Республики Северная Осетия-Алания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</si>
  <si>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000 01 06 00 00 00 0000 000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</si>
  <si>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</si>
  <si>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</si>
  <si>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</si>
  <si>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</si>
  <si>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</si>
  <si>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 собственности городских округов</t>
  </si>
  <si>
    <t>Осуществление полномочий Республики Северная Осетия-Алания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</si>
  <si>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Лесное хозяйство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</si>
  <si>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</si>
  <si>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</si>
  <si>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</si>
  <si>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</si>
  <si>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Поддержка коммунального хозяйства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</si>
  <si>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</si>
  <si>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</si>
  <si>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</si>
  <si>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</si>
  <si>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</si>
  <si>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Молодёжная политика и оздоровление детей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</si>
  <si>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</si>
  <si>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</si>
  <si>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</si>
  <si>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</si>
  <si>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Пенсионное обеспечение</t>
  </si>
  <si>
    <t>Контрольно-счетная палата муниципального образования г.Владикавказ (Дзауджикау)</t>
  </si>
  <si>
    <t>647</t>
  </si>
  <si>
    <t xml:space="preserve">Расходы на выплаты по оплате труда работников органов местного самоуправления </t>
  </si>
  <si>
    <t>Непрограммные расходы на обеспечение функционирования Контрольно-счетной палаты  муниципального образования г.Владикавказ (Дзауджикау)</t>
  </si>
  <si>
    <t>Социальное обеспечение населения</t>
  </si>
  <si>
    <t>Охрана семьи и детства</t>
  </si>
  <si>
    <t>КУЛЬТУРА И КИНЕМАТОГРАФИЯ</t>
  </si>
  <si>
    <t>Дорожное хозяйство (дорожные фонды)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</si>
  <si>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</si>
  <si>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</si>
  <si>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</si>
  <si>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Ежемесячные доплата к государственной пенсии лицам замещавшим муниципальные должности и должности муниципальной службы</t>
  </si>
  <si>
    <t>Ведомство</t>
  </si>
  <si>
    <t>Вид расходов</t>
  </si>
  <si>
    <t>598</t>
  </si>
  <si>
    <t>Другие вопросы в области национальной экономики</t>
  </si>
  <si>
    <t>СОЦИАЛЬНАЯ ПОЛИТИКА</t>
  </si>
  <si>
    <t>599</t>
  </si>
  <si>
    <t>600</t>
  </si>
  <si>
    <t>603</t>
  </si>
  <si>
    <t>Руководство и управление в сфере установленных функций органов государственной власти субъектов Российской и органов местного самоуправления</t>
  </si>
  <si>
    <t>Управление по строительству администрации местного самоуправления г.Владикавказ</t>
  </si>
  <si>
    <t>606</t>
  </si>
  <si>
    <t xml:space="preserve">Управление культуры  администрации местного самоуправления г.Владикавказа </t>
  </si>
  <si>
    <t>730</t>
  </si>
  <si>
    <t>Обеспечение функционирования Собрания представителей г.Владикавказ</t>
  </si>
  <si>
    <t>Обеспечение функционирования Главы местной администрации (исполнительно-распорядительного органа муниципального образования)</t>
  </si>
  <si>
    <t xml:space="preserve">Обеспечение функционирования органов местного самоуправления </t>
  </si>
  <si>
    <t>Обеспечение функционирования Контрольно-счетной палаты  муниципального образования г.Владикавказ (Дзауджикау)</t>
  </si>
  <si>
    <t>Расходы на выплаты по оплате труда работников Контрольно-счетной палаты муниципального образования г.Владикавказ (Дзауджикау)</t>
  </si>
  <si>
    <t>Непрограммные расходы органов местного самоуправления г.Владикавказ</t>
  </si>
  <si>
    <t xml:space="preserve">Занятость школьников в период летних каникул </t>
  </si>
  <si>
    <t>Комитет жилищно-коммунального хозяйства и энергетики администрации местного самоуправления города Владикавказа</t>
  </si>
  <si>
    <t>609</t>
  </si>
  <si>
    <t>Финансовое управление администрации местного самоуправления г.Владикавказа</t>
  </si>
  <si>
    <t>610</t>
  </si>
  <si>
    <t>611</t>
  </si>
  <si>
    <t>Другие общегосударственные  вопросы</t>
  </si>
  <si>
    <t>Обслуживание государственного внутреннего и муниципального долга</t>
  </si>
  <si>
    <t>Кредиты кредитных организаций в валюте Российской Федерации</t>
  </si>
  <si>
    <t>810</t>
  </si>
  <si>
    <t>Расходы на обеспечение деятельности (оказания услуг) культурно-досуговых учреждений</t>
  </si>
  <si>
    <t>05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</si>
  <si>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</si>
  <si>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</si>
  <si>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</si>
  <si>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</si>
  <si>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870</t>
  </si>
  <si>
    <t>Целевая      статья     расходов</t>
  </si>
  <si>
    <t>ВСЕГО</t>
  </si>
  <si>
    <t xml:space="preserve">Наименование кода группы, подгруппы, статьи, вида источника финансирования дефицита бюджетов, кода классификации операций сектора государственного управления, относящихся к источникам финансирования дефицита бюджетов Российской Федерации </t>
  </si>
  <si>
    <t>000 01 00 00 00 00 0000 000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</si>
  <si>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</si>
  <si>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</si>
  <si>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</si>
  <si>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</si>
  <si>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</si>
  <si>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</si>
  <si>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000 01 05 00 00 00 0000 000</t>
  </si>
  <si>
    <t>Изменение остатков средств на счетах по учёту средств бюджета</t>
  </si>
  <si>
    <t>Подпрограмма «Обеспечение деятельности и выполнения функций Комитета ЖКХЭ»</t>
  </si>
  <si>
    <t>Софинансирование обеспечения мероприятий по капитальному ремонту многоквартирных домов за счет средств местного бюджета</t>
  </si>
  <si>
    <t xml:space="preserve">609 </t>
  </si>
  <si>
    <t>Мероприятие "Издание и приобретение книг и иной печатной продукции, визуальной аудио продукции о г.Владикавказе"</t>
  </si>
  <si>
    <t>Судебная система</t>
  </si>
  <si>
    <t>Непрограммные расходы органов местного самоуправления</t>
  </si>
  <si>
    <t>Подпрограмма «Содержание подведомственных учреждений УТДС АМС г. Владикавказа»</t>
  </si>
  <si>
    <t>Осуществление полномочий по составлению (изменение) списков кандидатов в присяжные заседатели федеральных судов общей юрисдикции в Российской Федерации</t>
  </si>
  <si>
    <t>Мероприятие "Совершенствование мероприятий, направленных на повышение квалификации педагогических работников, развитие системы конкурсов профессионального мастерства и стимулирование труда работников образовательных организаций г.Владикавказа"</t>
  </si>
  <si>
    <t>Обеспечение жильем молодых семей за счет средств местного бюджета</t>
  </si>
  <si>
    <t>Подпрограмма «Образование г.Владикавказа-образование будущего»</t>
  </si>
  <si>
    <t>Код бюджетной классификации Российской Федерации</t>
  </si>
  <si>
    <t>тыс. рублей</t>
  </si>
  <si>
    <t>630</t>
  </si>
  <si>
    <t>Собрание представителей г. Владикавказ</t>
  </si>
  <si>
    <t>643</t>
  </si>
  <si>
    <t>Функционирование высшего должностного лица субъекта Российской Федерации и муниципального образования</t>
  </si>
  <si>
    <t>Администрация местного самоуправления г.Владикавказа</t>
  </si>
  <si>
    <t>Другие вопросы в области культуры, кинематографии</t>
  </si>
  <si>
    <t>бюджета муниципального образования г.Владикавказ</t>
  </si>
  <si>
    <t>тыс.рублей</t>
  </si>
  <si>
    <t>Код бюджетной  классификации РФ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</si>
  <si>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</si>
  <si>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</si>
  <si>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</si>
  <si>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</si>
  <si>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</si>
  <si>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</si>
  <si>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</si>
  <si>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</si>
  <si>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</si>
  <si>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</si>
  <si>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</si>
  <si>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03</t>
  </si>
  <si>
    <t>09</t>
  </si>
  <si>
    <t>Расходы на обеспечение деятельности (оказания услуг) муниципальных учреждений</t>
  </si>
  <si>
    <t>Расходы на выплаты персоналу казенных учреждений</t>
  </si>
  <si>
    <t>110</t>
  </si>
  <si>
    <t>08</t>
  </si>
  <si>
    <t>12</t>
  </si>
  <si>
    <t>07</t>
  </si>
  <si>
    <t>02</t>
  </si>
  <si>
    <t>Акцизы на автомобильный и прямогонный бензин, дизельное топливо и моторные масла</t>
  </si>
  <si>
    <t>07 3 03 00000</t>
  </si>
  <si>
    <t>Мероприятие "Обеспечение условий доступности для инвалидов жилых помещений и общего имущества в многоквартирных домах г.Владикавказ"</t>
  </si>
  <si>
    <t>13 0 00 00000</t>
  </si>
  <si>
    <t>99 9 0М L4970</t>
  </si>
  <si>
    <t>Мероприятие "Организация и проведение выставок, ярмарок, коллективных стендов малых и средних предприятий на выставочных мероприятиях"</t>
  </si>
  <si>
    <t xml:space="preserve">Проведение работ по координированию границ функциональных зон правил землепользования и застройки </t>
  </si>
  <si>
    <t>99 9 00 00131</t>
  </si>
  <si>
    <t>99 9 00 00133</t>
  </si>
  <si>
    <t>Подпрограмма "Вовлечение общественности в предупреждение правонарушений"</t>
  </si>
  <si>
    <t>Мероприятие "Материальное стимулирование деятельности народных дружинников"</t>
  </si>
  <si>
    <t>12 1 00 00000</t>
  </si>
  <si>
    <t>Подпрограмма  «Снос аварийного жилья в г.Владикавказе»</t>
  </si>
  <si>
    <t>09 5 00 00000</t>
  </si>
  <si>
    <t>Мероприятие "Обследование и подготовка технических заключений для ветхих и аварийных домов, заключение договоров мены у нотариуса, экспертные заключения"</t>
  </si>
  <si>
    <t xml:space="preserve"> 09 7 0М S9601</t>
  </si>
  <si>
    <t>09 7 00 00110</t>
  </si>
  <si>
    <t>09 7 00 00190</t>
  </si>
  <si>
    <t>Муниципальная программа "Развитие  молодежной политики, физической культуры и спорта в МО г.Владикавказ на 2018 -2021 годы"</t>
  </si>
  <si>
    <t>Финансовое обеспечение деятельности МБУК "Централизованная библиотечная система г.Владикавказа"</t>
  </si>
  <si>
    <t>Компенсация части родительской платы за содержание ребёнка в государственных и образовательных учреждениях, реализующих основную общеобразовательную программу дошкольного образования в соответствии с Законом Республики Северная Осетия-Алания от 31 июля 2006 года №42-РЗ "Об образовании"</t>
  </si>
  <si>
    <t>Субсидии юридическим лицам (кроме некоммерческих организаций), индивидуальным предпринимателям, физическим лицам</t>
  </si>
  <si>
    <t>Уплата налогов, сборов и иных платежей</t>
  </si>
  <si>
    <t>10</t>
  </si>
  <si>
    <t>Субсидии автономным учреждениям</t>
  </si>
  <si>
    <t>620</t>
  </si>
  <si>
    <t>310</t>
  </si>
  <si>
    <t>000 2 02 15000 00 0000 150</t>
  </si>
  <si>
    <t>000 2 02 15001 04 0001 150</t>
  </si>
  <si>
    <t>000 2 02 20000 00 0000 150</t>
  </si>
  <si>
    <t>000 2 02 20216 04 0060 150</t>
  </si>
  <si>
    <t>000 2 02 30000 00 0000 150</t>
  </si>
  <si>
    <t>000 2 02 30024 04 0000 150</t>
  </si>
  <si>
    <t xml:space="preserve">000 2 02 30024 04 0062 150          </t>
  </si>
  <si>
    <t xml:space="preserve">000 2 02 30024 04 0063 150          </t>
  </si>
  <si>
    <t>000 2 02 30024 04 0065 150</t>
  </si>
  <si>
    <t xml:space="preserve">000 2 02 30024 04 0067 150                 </t>
  </si>
  <si>
    <t xml:space="preserve">000 2 02 30024 04 0075 150 </t>
  </si>
  <si>
    <t>000 2 02 30029 04 0064 150</t>
  </si>
  <si>
    <t>000 2 02 35120 04 0000 150</t>
  </si>
  <si>
    <t>на 2020 год</t>
  </si>
  <si>
    <t>Субвенции бюджетам городских округов на выполнение передаваемых полномочий субъектов Российской Федерации (получение общедоступного и бесплатного дошкольного, начального общего, основного общего, среднего (полного) общего образования ,а также дополнительного образования в общеобразовательных учреждениях)</t>
  </si>
  <si>
    <t>Субвенции на выплату компенсации части родительской платы за содержание ребенка в муниципальных образовательных учреждениях</t>
  </si>
  <si>
    <t>Иные межбюджетные трансферты</t>
  </si>
  <si>
    <t xml:space="preserve">000  2 02 45393 04 0000 150
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</si>
  <si>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</si>
  <si>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</si>
  <si>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</si>
  <si>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Расходы на учреждение по обеспечению хозяйственного обслуживания ВМКУ ТХО АМС г.Владикавказа</t>
  </si>
  <si>
    <t>Муниципальная программа "Информатизация муниципального образования города Владикавказа на 2020 год и на плановый период 2021 и 2022 годов"</t>
  </si>
  <si>
    <t>Подпрограмма "Цифровизация городского хозяйства в рамках реализации проекта "Умный город"</t>
  </si>
  <si>
    <t>Мероприятие "Создание системы видеонаблюдения в подведомственных образовательных учреждениях"</t>
  </si>
  <si>
    <t>Мероприятие "Создание системы видеонаблюдения на территории муниципального образования г.Владикавказ"</t>
  </si>
  <si>
    <t>01 1 03 00108</t>
  </si>
  <si>
    <t>Мероприятие "Сопровождение автоматизированных систем"</t>
  </si>
  <si>
    <t>01 2 01 00111</t>
  </si>
  <si>
    <t>Мероприятие "Оплата услуг городской, междугородней и международной телефонной связи для АМС г.Владикавказа и подведомственных образовательных учреждений"</t>
  </si>
  <si>
    <t>01 2 02 00112</t>
  </si>
  <si>
    <t>Мероприятие "Обеспечение доступа с сети Интернет для АМС г.Владикавказа и подведомственных образовательных учреждений "</t>
  </si>
  <si>
    <t>01 2 03 00113</t>
  </si>
  <si>
    <t>Мероприятие "Предоставление цифровых оптоволоконных каналов связи для АМС г.Владикавказа и подведомственных образовательных учреждений "</t>
  </si>
  <si>
    <t>01 2 04 00114</t>
  </si>
  <si>
    <t>01 2 05 00115</t>
  </si>
  <si>
    <t>01 2 06 00116</t>
  </si>
  <si>
    <t>01 3 01 00117</t>
  </si>
  <si>
    <t>Мероприятие "Организация защиты информационных систем персональных данных (ИСПДн)"</t>
  </si>
  <si>
    <t>01 3 03 00119</t>
  </si>
  <si>
    <t>Подпрограмма "Мониторинг социально-экономических и иных процессов, оказывающих влияние на ситуацию в области профилактики терроризма на территории г.Владикавказ"</t>
  </si>
  <si>
    <t>06 2 00 00000</t>
  </si>
  <si>
    <t>Мероприятие "Ежеквартальное проведение мониторинга социально-экономических и иных процессов, оказывающих влияние на ситуацию в области профилактики терроризма"</t>
  </si>
  <si>
    <t>06 2 01 00120</t>
  </si>
  <si>
    <t>99 9 00 00122</t>
  </si>
  <si>
    <t>99 9 00 00123</t>
  </si>
  <si>
    <t>Муниципальная программа «Поддержка и развитие малого, среднего предпринимательства и инвестиционной деятельности в г.Владикавказе» на 2020- 2022 годы</t>
  </si>
  <si>
    <t>Мероприятие "Организация консультативной поддержки субъектам малого и среднего предпринимательства по вопросам организации торговли, кредитования, налогообложения, бухгалтерского учета, преодоления административных барьеров, в том числе и на принципах аутсорсинга"</t>
  </si>
  <si>
    <t>05 0 01 00124</t>
  </si>
  <si>
    <t>05 0 02 00125</t>
  </si>
  <si>
    <t>Мероприятие "Организация и проведение конференций, семинаров, «круглых столов», участие в семинарах, конференциях и выставках по вопросам малого и среднего предпринимательства"</t>
  </si>
  <si>
    <t>05 0 03 00126</t>
  </si>
  <si>
    <t>05 0 04 00127</t>
  </si>
  <si>
    <t>Мероприятие "Подготовка   технических заданий, тех.  условий при формировании  инвестиционных проектов, в том числе проектов муниципально-частного партнерства "</t>
  </si>
  <si>
    <t>05 0 05 00128</t>
  </si>
  <si>
    <t>99 9 00 00129</t>
  </si>
  <si>
    <t xml:space="preserve">Единовременная выплата на приобретение жилого помещения для людей страдающих тяжелыми формами хронических заболеваний </t>
  </si>
  <si>
    <t>Муниципальная целевая программа «Социальная поддержка
нуждающегося населения г.Владикавказа» на 2020 год и на плановый период
2021 и 2022 годов</t>
  </si>
  <si>
    <t>02 0 01 00132</t>
  </si>
  <si>
    <t>99 9 00 00136</t>
  </si>
  <si>
    <t>Муниципальная программа "Профилактика правонарушений в городе Владикавказе на 2020-2022 годы"</t>
  </si>
  <si>
    <t>12 1 02 00121</t>
  </si>
  <si>
    <t>Муниципальная программа "Развитие  молодежной политики, физической культуры и спорта в МО г.Владикавказ на 2018-2021 годы"</t>
  </si>
  <si>
    <t>11 1 01 00139</t>
  </si>
  <si>
    <t>Подпрограмма "Реализация мероприятий в области физической культуры и спорта, пропаганда здорового образа жизни"</t>
  </si>
  <si>
    <t>11 2 01 00140</t>
  </si>
  <si>
    <t>11 3 01 00141</t>
  </si>
  <si>
    <t xml:space="preserve">04 </t>
  </si>
  <si>
    <t>03 3 R1 53934</t>
  </si>
  <si>
    <t>Реконструкция, капитальный ремонт и ремонт автомобильных дорог местного значения (улично-дорожной сети) г.Владикавказа</t>
  </si>
  <si>
    <t>03 3 R1 28072</t>
  </si>
  <si>
    <t>Муниципальная программа "Развитие транспортной инфраструктуры г.Владикавказа на 2020 год и на плановый период 2021 и 2022 годов"</t>
  </si>
  <si>
    <t>Мероприятие "Возмещение убытков от финансово-хозяйственной деятельности предприятия, связанных с образовавшейся межтарифной разницей"</t>
  </si>
  <si>
    <t>03 2 01 00142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</si>
  <si>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</si>
  <si>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Подпрограмма «Автомобильные дороги и улично-дорожная сеть (проектирование, строительство, реконструкция, капитальный ремонт, ремонт и содержание автомобильных дорог) г.Владикавказа»</t>
  </si>
  <si>
    <t>03 3 01 00143</t>
  </si>
  <si>
    <t>Закупка товаров, работ и услуг для обеспечения государственных (муниципальных) нужд</t>
  </si>
  <si>
    <t>03 3 04 00146</t>
  </si>
  <si>
    <t>Субсидия на дорожную деятельность в отношении автомобильных дорог общего пользования местного значения</t>
  </si>
  <si>
    <t>03 4 01 00147</t>
  </si>
  <si>
    <t>03 4 02 00148</t>
  </si>
  <si>
    <t>Муниципальная программа «Развитие культуры г.Владикавказа на 2020 год и плановый период 2021-2022 годы"</t>
  </si>
  <si>
    <t>08 1 01 00149</t>
  </si>
  <si>
    <t>Мероприятие "Развитие системы художественно-эстетического образования в сфере культуры  МО г.Владикавказа"</t>
  </si>
  <si>
    <t>08 3 01 00159</t>
  </si>
  <si>
    <t>08 2 01 00156</t>
  </si>
  <si>
    <t>08 2 02 00157</t>
  </si>
  <si>
    <t>08 2 03 00158</t>
  </si>
  <si>
    <t xml:space="preserve">Предоставление субсидий бюджетным, автономным учреждениям и иным некоммерческим организациям
</t>
  </si>
  <si>
    <t xml:space="preserve"> Субсидии некоммерческим организациям (за исключением государственных (муниципальных) учреждений)</t>
  </si>
  <si>
    <t>08 3 03 00161</t>
  </si>
  <si>
    <t>Мероприятие "Развитие библиотечного дела в библиотеках МО г.Владикавказа"</t>
  </si>
  <si>
    <t>08 3 02 00160</t>
  </si>
  <si>
    <t>08 1 02 00150</t>
  </si>
  <si>
    <t>08 1 03 00151</t>
  </si>
  <si>
    <t>08 1 04 00152</t>
  </si>
  <si>
    <t>08 1 05 00153</t>
  </si>
  <si>
    <t>08 1 07 00155</t>
  </si>
  <si>
    <t>13 0 F2 55554</t>
  </si>
  <si>
    <t>Муниципальная  целевая программа "Благоустройство и озеленение г.Владикавказа" на 2020-2022 годы</t>
  </si>
  <si>
    <t>04 0 12 00172</t>
  </si>
  <si>
    <t>Мероприятие "Благоустройство парков, скверов и набережных"</t>
  </si>
  <si>
    <t>04 0 01 00162</t>
  </si>
  <si>
    <t>Мероприятие "Благоустройство угловых зон отдыха"</t>
  </si>
  <si>
    <t>04 0 02 00163</t>
  </si>
  <si>
    <t>Мероприятие "Установка аншлагов"</t>
  </si>
  <si>
    <t>04 0 03 00164</t>
  </si>
  <si>
    <t>04 0 04 00165</t>
  </si>
  <si>
    <t>04 0 05 00166</t>
  </si>
  <si>
    <t>04 0 06 00167</t>
  </si>
  <si>
    <t>04 0 08 00169</t>
  </si>
  <si>
    <t>04 0 09 00170</t>
  </si>
  <si>
    <t>04 0 10 00146</t>
  </si>
  <si>
    <t>04 0 13 00173</t>
  </si>
  <si>
    <t>04 0 14 00174</t>
  </si>
  <si>
    <t>Муниципальная программа "Формирование современной городской среды на территории муниципального образования г.Владикавказ на 2018-2024 годы"</t>
  </si>
  <si>
    <t>Софинансирование на обеспечение мероприятий по переселению граждан из аварийного жилищного фонда</t>
  </si>
  <si>
    <t>10 0 0М S9602</t>
  </si>
  <si>
    <t>10 0 0М L0270</t>
  </si>
  <si>
    <t>10 0 11 00185</t>
  </si>
  <si>
    <t>10 0 02 00176</t>
  </si>
  <si>
    <t>10 0 01 00175</t>
  </si>
  <si>
    <t>Мероприятие "Ремонт детских и спортивных площадок"</t>
  </si>
  <si>
    <t>10 0 13 00187</t>
  </si>
  <si>
    <t>Мероприятие "Ремонт подземных переходов в г.Владикавказ"</t>
  </si>
  <si>
    <t>10 0 14 00188</t>
  </si>
  <si>
    <t>10 0 04 00178</t>
  </si>
  <si>
    <t>10 0 05 00179</t>
  </si>
  <si>
    <t>Мероприятие "Софинансирование разработки проектно-сметной документации"</t>
  </si>
  <si>
    <t>10 0 06 00180</t>
  </si>
  <si>
    <t>10 0 08 00182</t>
  </si>
  <si>
    <t>Подпрограмма "Обеспечение безопасности и надежности систем инженерно-технического обеспечения г.Владикавказа"</t>
  </si>
  <si>
    <t>Мероприятие "Обеспечение безопасности и надежности систем инженерно-технического обеспечения г.Владикавказа"</t>
  </si>
  <si>
    <t>Подпрограмма "Ремонт зданий и объектов муниципальной собственности"</t>
  </si>
  <si>
    <t>Мероприятие "Ремонт муниципальных квартир, объектов (общежитий)"</t>
  </si>
  <si>
    <t>09 2 01 00194</t>
  </si>
  <si>
    <t>09 1 02 00191</t>
  </si>
  <si>
    <t>Мероприятие "Замена бойлеров"</t>
  </si>
  <si>
    <t>09 1 03 00192</t>
  </si>
  <si>
    <t>09 1 04 00193</t>
  </si>
  <si>
    <t>Мероприятие "Проектирование и строительство сетей уличного освещения"</t>
  </si>
  <si>
    <t>09 3 01 00196</t>
  </si>
  <si>
    <t>09 3 03 00198</t>
  </si>
  <si>
    <t>09 4 01 00199</t>
  </si>
  <si>
    <t>Мероприятие "Паспортизация многоквартирных домов, имеющих непосредственную форму управления и в которых жильцами неопределена форма управления"</t>
  </si>
  <si>
    <t>09 5 01 00200</t>
  </si>
  <si>
    <t>09 5 02 00201</t>
  </si>
  <si>
    <t>09 5 03 00202</t>
  </si>
  <si>
    <t>09 6 00 00203</t>
  </si>
  <si>
    <t xml:space="preserve"> 09 7 02 00204</t>
  </si>
  <si>
    <t xml:space="preserve"> 09 7 03 00205</t>
  </si>
  <si>
    <t xml:space="preserve"> 09 7 04 00206</t>
  </si>
  <si>
    <t xml:space="preserve"> 09 7 05 00207</t>
  </si>
  <si>
    <t xml:space="preserve"> 09 7 06 00208</t>
  </si>
  <si>
    <t>Мероприятие "Техническое обслуживание и эксплуатация сетей ливневой канализации"</t>
  </si>
  <si>
    <t>09 7 07 00209</t>
  </si>
  <si>
    <t>99 9 00 00210</t>
  </si>
  <si>
    <t>99 9 00 00211</t>
  </si>
  <si>
    <t>99 9 00 00213</t>
  </si>
  <si>
    <t xml:space="preserve"> Премии и гранты
</t>
  </si>
  <si>
    <t>350</t>
  </si>
  <si>
    <t>07 1 01 00214</t>
  </si>
  <si>
    <t>07 1 02 00215</t>
  </si>
  <si>
    <t>07 1 03 00216</t>
  </si>
  <si>
    <t>07 1 04 00217</t>
  </si>
  <si>
    <t>07 1 05 00218</t>
  </si>
  <si>
    <t>07 3 03 00223</t>
  </si>
  <si>
    <t>07 2 01 00219</t>
  </si>
  <si>
    <t>07 2 02 00220</t>
  </si>
  <si>
    <t>07 2 03 00221</t>
  </si>
  <si>
    <t>07 3 02 00222</t>
  </si>
  <si>
    <t>Муниципальная целевая  программа «Развитие образования города Владикавказа на 2020 год и на плановый период 2021-2022 годы»</t>
  </si>
  <si>
    <t>05 0 00 0000</t>
  </si>
  <si>
    <t xml:space="preserve"> на 2020 год</t>
  </si>
  <si>
    <t>Муниципальная программа"Городская инвестиционная программа г.Владикавказа на 2020 год и плановый период 2021-2022 годы"</t>
  </si>
  <si>
    <t>Мероприятие "Приобретение энергосберегающего оборудования"</t>
  </si>
  <si>
    <t>Мероприятия по благоустройству городского округа</t>
  </si>
  <si>
    <t>Подпрограмма "Обеспечение создания условий для реализации муниципальной программы "Развитие образования г.Владикавказа на 2020 год и на плановый период 2021-2022 годы"</t>
  </si>
  <si>
    <t>Премии и гранты</t>
  </si>
  <si>
    <t>Муниципальная целевая программа "Развитие жилищно-коммунального хозяйства муниципального образования город Владикавказ на 2020 год и плановый период 2021-2022 годов"</t>
  </si>
  <si>
    <t>10 0 16 00225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</si>
  <si>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</si>
  <si>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</si>
  <si>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Мероприятие "Ремонт проспекта Мира в г.Владикавказ"</t>
  </si>
  <si>
    <t>Субсидия на ремонт проспекта Мира в г.Владикавказе</t>
  </si>
  <si>
    <t xml:space="preserve">10 0 0Р 10186 </t>
  </si>
  <si>
    <t>Мероприятие "Установка скульптурных композиций на Мемориале Славы в г.Владикавказе"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</si>
  <si>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 " (Реконструкция, капитальный ремонт и ремонт автомобильных дорог местного значения (улично-дорожной сети)</t>
  </si>
  <si>
    <t>Дотации бюджетам городских округов на выравнивание бюджетной обеспеченности из бюджета субъекта Российской Федерации</t>
  </si>
  <si>
    <t>Расходы на содержание казенных учреждений (МКУ "Правовое обеспечение", МКУ "ВПЦ")</t>
  </si>
  <si>
    <t>000 2 02 25497 04 0000 150</t>
  </si>
  <si>
    <t xml:space="preserve">Субсидии бюджетам городских округов на реализацию мероприятий по обеспечению жильем молодых семей
</t>
  </si>
  <si>
    <t>Обеспечение жильем молодых семей за счет средств федерального и республиканского бюджета</t>
  </si>
  <si>
    <t>99 9 0P L4970</t>
  </si>
  <si>
    <t>Обеспечение жильем молодых семей</t>
  </si>
  <si>
    <t>000 2 02 25299 04 0000 150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</si>
  <si>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
</t>
  </si>
  <si>
    <t>Субсидия на софинансирование расходов на обустройство и восстановление воинских захоронений</t>
  </si>
  <si>
    <t>04 0 0P L2990</t>
  </si>
  <si>
    <t>Софинансирование расходов на обустройство и восстановление воинских захоронений</t>
  </si>
  <si>
    <t>04 0 0М L2990</t>
  </si>
  <si>
    <t>000 2 02 25027 04 0000 150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</si>
  <si>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
</t>
  </si>
  <si>
    <t>Реализация мероприятий государственной программы Российской Федерации "Доступная среда"</t>
  </si>
  <si>
    <t>07 1 0P L0270</t>
  </si>
  <si>
    <t xml:space="preserve">Реализация мероприятий государственной программы Российской Федерации "Доступная среда"
</t>
  </si>
  <si>
    <t>07 1 0Р L0270</t>
  </si>
  <si>
    <t xml:space="preserve">Реализация мероприятий государственной программы Российской Федерации "Доступная среда" </t>
  </si>
  <si>
    <t>000 2 02 25519 04 0000 150</t>
  </si>
  <si>
    <t>Субсидия бюджетам городских округов на поддержку отрасли культуры</t>
  </si>
  <si>
    <t>Мероприятия на поддержку отрасли культуры за счет средств бюджетов</t>
  </si>
  <si>
    <t xml:space="preserve">603 </t>
  </si>
  <si>
    <t>08 3 0P L5190</t>
  </si>
  <si>
    <t xml:space="preserve">Софинансирование на поддержку отрасли культуры </t>
  </si>
  <si>
    <t>08 3 0М L5190</t>
  </si>
  <si>
    <t>000 2 02 25555 04 0000 150</t>
  </si>
  <si>
    <t xml:space="preserve">Субсидии бюджетам городских округов на реализацию программ формирования современной городской среды
</t>
  </si>
  <si>
    <t xml:space="preserve">Реализация мероприятий по формированию современной городской среды </t>
  </si>
  <si>
    <t>13 0 F2 55550</t>
  </si>
  <si>
    <t>Проведение творческих конкурсных работ по разработке эскизных проектов</t>
  </si>
  <si>
    <t>99 9 00 00226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</si>
  <si>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</si>
  <si>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Мероприятие "Ремонт многоквартирных домов"</t>
  </si>
  <si>
    <t>Мероприятие "Подготовка и издание информационно-справочных пособий для предпринимателей (до 2 изданий в год) по вопросам регулирования торговой деятельности, налогооблажения, бухгалтерского учета, кредитования, а также вопросов, связанных с началом предпринимательской деятельности"</t>
  </si>
  <si>
    <t>000 2 02 49999 04 0066 150</t>
  </si>
  <si>
    <t>Прочие межбюджетные трансферты, передаваемые бюджетам городских округов (реализация мероприятий активной политики занятости)</t>
  </si>
  <si>
    <t>Общеэкономические вопросы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</si>
  <si>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</si>
  <si>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99 9 0Р 21670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</si>
  <si>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</si>
  <si>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10 0 0Ф 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</si>
  <si>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строительстваза счет средств республиканского бюджета</t>
  </si>
  <si>
    <t>10 0 0P 09602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</si>
  <si>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</si>
  <si>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</si>
  <si>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Мероприятие "Благоустройство площадки для временного содержания бездомных животных"</t>
  </si>
  <si>
    <t>10 0 17 00227</t>
  </si>
  <si>
    <t>000 2 02 49999 04 0146 150</t>
  </si>
  <si>
    <t>Прочие межбюджетные трансферты, передаваемые бюджетам городских округов (обеспечение деятельности по оказанию коммунальной услуги населению по обращению с твердыми коммунальными отходами)</t>
  </si>
  <si>
    <t>Мероприятие по обеспечению деятельности по оказанию коммунальной услуги населению по обращению с твердыми коммунальными отходами</t>
  </si>
  <si>
    <t>04 0 G2 52680</t>
  </si>
  <si>
    <t>000 2 02 20299 04 0000 150</t>
  </si>
  <si>
    <t>09 7 F3 67483</t>
  </si>
  <si>
    <t>03 1 02 00146</t>
  </si>
  <si>
    <t>09 7 F3 6748S</t>
  </si>
  <si>
    <t>000 2 02 49999 04 0147 150</t>
  </si>
  <si>
    <t>Прочие межбюджетные трансферты, передаваемые бюджетам городских округов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</si>
  <si>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000 2 02 45303 04 0000 150</t>
  </si>
  <si>
    <t>000 2 02 40000 00 0000 150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</si>
  <si>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</si>
  <si>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</si>
  <si>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 1 0Ф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</si>
  <si>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</si>
  <si>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 1 0P R3040</t>
  </si>
  <si>
    <t>000 2 02  29999 04 0000 150</t>
  </si>
  <si>
    <t>Прочие субсидии бюджетам городских округов (софинансирование мероприятий по ремонту проспекта Мира)</t>
  </si>
  <si>
    <t>Оценка ожидаемого исполнения бюджета муниципального образования г.Владикавказ</t>
  </si>
  <si>
    <t>Оценка ожидаемого исполнения по источникам финансирования дефицита</t>
  </si>
  <si>
    <t>Уточненный план на 01.11.2020 года</t>
  </si>
  <si>
    <t>Исполнение на 01.11.2020 года</t>
  </si>
  <si>
    <t>Оценка на 2020  год</t>
  </si>
  <si>
    <t>Оценка ожидаемого исполнения по целевым статьям (муниципальным и ведомственным целевым программам и непрограммным направлениям деятельности), разделам, подразделам, группам и подгруппам видов расходов классификации расходов бюджета муниципального образования г.Владикавказ</t>
  </si>
  <si>
    <t>% исполнения</t>
  </si>
  <si>
    <t xml:space="preserve">Оценка за 2020 год </t>
  </si>
  <si>
    <t xml:space="preserve">Оценка ожидаемого исполнения распределения бюджетных ассигнований по разделам и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г.Владикавказ                                                                                                                                                                                                                                                 на 2020 год </t>
  </si>
  <si>
    <t>Оценка ожидаемого исполнения ведомственной структуры расходов бюджета муниципального образования г.Владикавказ на 2020 год</t>
  </si>
  <si>
    <t>по доходам за 2020 год</t>
  </si>
  <si>
    <t>Уточненный план на 01.11.2020</t>
  </si>
  <si>
    <t>Исполнение на 01.11.2020</t>
  </si>
  <si>
    <t>Оценка на 2020 год</t>
  </si>
  <si>
    <t>000 2 02 49999 04 0000 150</t>
  </si>
  <si>
    <t xml:space="preserve">Прочие межбюджетные трансферты, передаваемые бюджетам городских округов (софинансирование мероприятий по ремонту проспекта Мира)
</t>
  </si>
  <si>
    <t>000 2 19 00000 04 0000 151</t>
  </si>
  <si>
    <t>Возврат остатков субсидий и субвенций прошлых лет</t>
  </si>
  <si>
    <t>000 2 19 60010 04 0000 150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</si>
  <si>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</si>
  <si>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И.о.начальника Финансового управления __________________   И.Айларов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</si>
</sst>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?_р_._-;_-@_-"/>
    <numFmt numFmtId="167" formatCode="#,##0.0"/>
    <numFmt numFmtId="168" formatCode="_-* #,##0.0_р_._-;\-* #,##0.0_р_._-;_-* &quot;-&quot;?_р_._-;_-@_-"/>
    <numFmt numFmtId="169" formatCode="_-* #,##0.0\ _₽_-;\-* #,##0.0\ _₽_-;_-* &quot;-&quot;?\ _₽_-;_-@_-"/>
    <numFmt numFmtId="170" formatCode="#,##0.0_ ;\-#,##0.0\ "/>
  </numFmts>
  <fonts count="3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Arial Cyr"/>
      <charset val="204"/>
    </font>
    <font>
      <b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8"/>
      <color rgb="FF000000"/>
      <name val="Arial Cyr"/>
    </font>
    <font>
      <b/>
      <i/>
      <sz val="11"/>
      <name val="Times New Roman"/>
      <family val="1"/>
      <charset val="204"/>
    </font>
    <font>
      <sz val="10"/>
      <name val="TimesNewRomanPSMT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29" fillId="0" borderId="3">
      <alignment horizontal="left" wrapText="1" indent="2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71">
    <xf numFmtId="0" fontId="0" fillId="0" borderId="0" xfId="0"/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13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6" fontId="1" fillId="0" borderId="0" xfId="4" applyNumberFormat="1"/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6" fontId="4" fillId="0" borderId="0" xfId="4" applyNumberFormat="1" applyFont="1"/>
    <xf numFmtId="49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/>
    <xf numFmtId="49" fontId="18" fillId="0" borderId="1" xfId="0" applyNumberFormat="1" applyFont="1" applyFill="1" applyBorder="1" applyAlignment="1">
      <alignment horizontal="center" vertical="center" wrapText="1"/>
    </xf>
    <xf numFmtId="168" fontId="16" fillId="0" borderId="1" xfId="4" applyNumberFormat="1" applyFont="1" applyFill="1" applyBorder="1" applyAlignment="1">
      <alignment horizontal="right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21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7" fontId="10" fillId="0" borderId="1" xfId="4" applyNumberFormat="1" applyFont="1" applyFill="1" applyBorder="1" applyAlignment="1">
      <alignment horizontal="right" vertical="center" wrapText="1"/>
    </xf>
    <xf numFmtId="167" fontId="16" fillId="0" borderId="1" xfId="4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167" fontId="17" fillId="0" borderId="1" xfId="4" applyNumberFormat="1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" fillId="0" borderId="0" xfId="0" applyFont="1" applyFill="1"/>
    <xf numFmtId="0" fontId="14" fillId="0" borderId="0" xfId="0" applyFont="1" applyFill="1"/>
    <xf numFmtId="0" fontId="15" fillId="0" borderId="0" xfId="0" applyFont="1" applyFill="1"/>
    <xf numFmtId="49" fontId="20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5" fillId="0" borderId="0" xfId="0" applyFont="1" applyAlignment="1">
      <alignment horizontal="center"/>
    </xf>
    <xf numFmtId="0" fontId="16" fillId="0" borderId="1" xfId="0" applyNumberFormat="1" applyFont="1" applyFill="1" applyBorder="1" applyAlignment="1">
      <alignment vertical="top" wrapText="1"/>
    </xf>
    <xf numFmtId="0" fontId="22" fillId="0" borderId="1" xfId="0" applyNumberFormat="1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vertical="top" wrapText="1"/>
    </xf>
    <xf numFmtId="166" fontId="16" fillId="0" borderId="1" xfId="0" applyNumberFormat="1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wrapText="1"/>
    </xf>
    <xf numFmtId="0" fontId="6" fillId="4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vertical="top" wrapText="1"/>
    </xf>
    <xf numFmtId="49" fontId="23" fillId="0" borderId="1" xfId="0" applyNumberFormat="1" applyFont="1" applyFill="1" applyBorder="1" applyAlignment="1">
      <alignment vertical="top" wrapText="1"/>
    </xf>
    <xf numFmtId="49" fontId="22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top" wrapText="1"/>
    </xf>
    <xf numFmtId="167" fontId="5" fillId="2" borderId="1" xfId="4" applyNumberFormat="1" applyFont="1" applyFill="1" applyBorder="1" applyAlignment="1">
      <alignment horizontal="right" vertical="center" wrapText="1"/>
    </xf>
    <xf numFmtId="167" fontId="18" fillId="0" borderId="1" xfId="4" applyNumberFormat="1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vertical="top" wrapText="1"/>
    </xf>
    <xf numFmtId="167" fontId="16" fillId="5" borderId="1" xfId="4" applyNumberFormat="1" applyFont="1" applyFill="1" applyBorder="1" applyAlignment="1">
      <alignment horizontal="right" vertical="center" wrapText="1"/>
    </xf>
    <xf numFmtId="0" fontId="6" fillId="5" borderId="1" xfId="0" applyNumberFormat="1" applyFont="1" applyFill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167" fontId="6" fillId="4" borderId="1" xfId="4" applyNumberFormat="1" applyFont="1" applyFill="1" applyBorder="1" applyAlignment="1">
      <alignment horizontal="right" vertical="center" wrapText="1"/>
    </xf>
    <xf numFmtId="167" fontId="16" fillId="3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166" fontId="9" fillId="0" borderId="0" xfId="4" applyNumberFormat="1" applyFont="1" applyFill="1" applyBorder="1" applyAlignment="1">
      <alignment horizontal="center" vertical="center"/>
    </xf>
    <xf numFmtId="166" fontId="16" fillId="0" borderId="1" xfId="4" applyNumberFormat="1" applyFont="1" applyFill="1" applyBorder="1" applyAlignment="1">
      <alignment horizontal="right" vertical="center" wrapText="1"/>
    </xf>
    <xf numFmtId="166" fontId="10" fillId="0" borderId="1" xfId="4" applyNumberFormat="1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6" fontId="9" fillId="0" borderId="1" xfId="4" applyNumberFormat="1" applyFont="1" applyBorder="1" applyAlignment="1">
      <alignment horizontal="right" vertical="center" wrapText="1"/>
    </xf>
    <xf numFmtId="166" fontId="5" fillId="0" borderId="1" xfId="4" applyNumberFormat="1" applyFont="1" applyBorder="1" applyAlignment="1">
      <alignment horizontal="right" vertical="center" wrapText="1"/>
    </xf>
    <xf numFmtId="166" fontId="5" fillId="2" borderId="1" xfId="4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166" fontId="5" fillId="0" borderId="1" xfId="4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166" fontId="9" fillId="0" borderId="1" xfId="4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27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6" fontId="4" fillId="0" borderId="1" xfId="4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66" fontId="6" fillId="0" borderId="1" xfId="4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168" fontId="8" fillId="2" borderId="1" xfId="0" applyNumberFormat="1" applyFont="1" applyFill="1" applyBorder="1" applyAlignment="1">
      <alignment horizontal="right" vertical="center" wrapText="1"/>
    </xf>
    <xf numFmtId="166" fontId="8" fillId="2" borderId="1" xfId="4" applyNumberFormat="1" applyFont="1" applyFill="1" applyBorder="1" applyAlignment="1">
      <alignment horizontal="right" vertical="center" wrapText="1"/>
    </xf>
    <xf numFmtId="49" fontId="16" fillId="6" borderId="1" xfId="0" applyNumberFormat="1" applyFont="1" applyFill="1" applyBorder="1" applyAlignment="1">
      <alignment vertical="top" wrapText="1"/>
    </xf>
    <xf numFmtId="49" fontId="16" fillId="6" borderId="1" xfId="0" applyNumberFormat="1" applyFont="1" applyFill="1" applyBorder="1" applyAlignment="1">
      <alignment horizontal="center" vertical="center" wrapText="1"/>
    </xf>
    <xf numFmtId="167" fontId="16" fillId="6" borderId="1" xfId="4" applyNumberFormat="1" applyFont="1" applyFill="1" applyBorder="1" applyAlignment="1">
      <alignment horizontal="right" vertical="center" wrapText="1"/>
    </xf>
    <xf numFmtId="49" fontId="11" fillId="6" borderId="1" xfId="0" applyNumberFormat="1" applyFont="1" applyFill="1" applyBorder="1" applyAlignment="1">
      <alignment vertical="top" wrapText="1"/>
    </xf>
    <xf numFmtId="49" fontId="20" fillId="6" borderId="1" xfId="0" applyNumberFormat="1" applyFont="1" applyFill="1" applyBorder="1" applyAlignment="1">
      <alignment horizontal="center" vertical="center" wrapText="1"/>
    </xf>
    <xf numFmtId="167" fontId="20" fillId="6" borderId="1" xfId="4" applyNumberFormat="1" applyFont="1" applyFill="1" applyBorder="1" applyAlignment="1">
      <alignment horizontal="right" vertical="center" wrapText="1"/>
    </xf>
    <xf numFmtId="49" fontId="11" fillId="6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167" fontId="11" fillId="6" borderId="1" xfId="4" applyNumberFormat="1" applyFont="1" applyFill="1" applyBorder="1" applyAlignment="1">
      <alignment horizontal="right" vertical="center" wrapText="1"/>
    </xf>
    <xf numFmtId="49" fontId="10" fillId="6" borderId="1" xfId="0" applyNumberFormat="1" applyFont="1" applyFill="1" applyBorder="1" applyAlignment="1">
      <alignment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167" fontId="10" fillId="6" borderId="1" xfId="4" applyNumberFormat="1" applyFont="1" applyFill="1" applyBorder="1" applyAlignment="1">
      <alignment horizontal="right" vertical="center" wrapText="1"/>
    </xf>
    <xf numFmtId="0" fontId="1" fillId="6" borderId="0" xfId="0" applyFont="1" applyFill="1"/>
    <xf numFmtId="49" fontId="20" fillId="6" borderId="1" xfId="0" applyNumberFormat="1" applyFont="1" applyFill="1" applyBorder="1" applyAlignment="1">
      <alignment vertical="top" wrapText="1"/>
    </xf>
    <xf numFmtId="49" fontId="17" fillId="6" borderId="1" xfId="0" applyNumberFormat="1" applyFont="1" applyFill="1" applyBorder="1" applyAlignment="1">
      <alignment vertical="top" wrapText="1"/>
    </xf>
    <xf numFmtId="49" fontId="17" fillId="6" borderId="1" xfId="0" applyNumberFormat="1" applyFont="1" applyFill="1" applyBorder="1" applyAlignment="1">
      <alignment horizontal="center" vertical="center" wrapText="1"/>
    </xf>
    <xf numFmtId="167" fontId="17" fillId="6" borderId="1" xfId="4" applyNumberFormat="1" applyFont="1" applyFill="1" applyBorder="1" applyAlignment="1">
      <alignment horizontal="right" vertical="center" wrapText="1"/>
    </xf>
    <xf numFmtId="49" fontId="22" fillId="6" borderId="1" xfId="0" applyNumberFormat="1" applyFont="1" applyFill="1" applyBorder="1" applyAlignment="1">
      <alignment vertical="top" wrapText="1"/>
    </xf>
    <xf numFmtId="0" fontId="17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49" fontId="20" fillId="7" borderId="1" xfId="0" applyNumberFormat="1" applyFont="1" applyFill="1" applyBorder="1" applyAlignment="1">
      <alignment vertical="top" wrapText="1"/>
    </xf>
    <xf numFmtId="49" fontId="20" fillId="7" borderId="1" xfId="0" applyNumberFormat="1" applyFont="1" applyFill="1" applyBorder="1" applyAlignment="1">
      <alignment horizontal="center" vertical="center" wrapText="1"/>
    </xf>
    <xf numFmtId="49" fontId="17" fillId="6" borderId="1" xfId="0" applyNumberFormat="1" applyFont="1" applyFill="1" applyBorder="1" applyAlignment="1">
      <alignment horizontal="center" vertical="top" wrapText="1"/>
    </xf>
    <xf numFmtId="166" fontId="16" fillId="6" borderId="1" xfId="4" applyNumberFormat="1" applyFont="1" applyFill="1" applyBorder="1" applyAlignment="1">
      <alignment horizontal="right" vertical="center" wrapText="1"/>
    </xf>
    <xf numFmtId="166" fontId="10" fillId="6" borderId="1" xfId="4" applyNumberFormat="1" applyFont="1" applyFill="1" applyBorder="1" applyAlignment="1">
      <alignment horizontal="right" vertical="center" wrapText="1"/>
    </xf>
    <xf numFmtId="166" fontId="17" fillId="6" borderId="1" xfId="4" applyNumberFormat="1" applyFont="1" applyFill="1" applyBorder="1" applyAlignment="1">
      <alignment horizontal="right" vertical="center" wrapText="1"/>
    </xf>
    <xf numFmtId="0" fontId="10" fillId="6" borderId="1" xfId="0" applyFont="1" applyFill="1" applyBorder="1" applyAlignment="1">
      <alignment horizontal="center" vertical="center"/>
    </xf>
    <xf numFmtId="49" fontId="10" fillId="6" borderId="1" xfId="0" applyNumberFormat="1" applyFont="1" applyFill="1" applyBorder="1" applyAlignment="1">
      <alignment horizontal="center" vertical="center"/>
    </xf>
    <xf numFmtId="49" fontId="18" fillId="6" borderId="1" xfId="0" applyNumberFormat="1" applyFont="1" applyFill="1" applyBorder="1" applyAlignment="1">
      <alignment horizontal="center" vertical="center" wrapText="1"/>
    </xf>
    <xf numFmtId="0" fontId="17" fillId="6" borderId="1" xfId="0" applyNumberFormat="1" applyFont="1" applyFill="1" applyBorder="1" applyAlignment="1">
      <alignment vertical="top" wrapText="1"/>
    </xf>
    <xf numFmtId="0" fontId="16" fillId="6" borderId="1" xfId="0" applyFont="1" applyFill="1" applyBorder="1" applyAlignment="1">
      <alignment vertical="top" wrapText="1"/>
    </xf>
    <xf numFmtId="0" fontId="16" fillId="6" borderId="1" xfId="0" applyFont="1" applyFill="1" applyBorder="1" applyAlignment="1">
      <alignment horizontal="center" vertical="center" wrapText="1"/>
    </xf>
    <xf numFmtId="49" fontId="18" fillId="6" borderId="1" xfId="0" applyNumberFormat="1" applyFont="1" applyFill="1" applyBorder="1" applyAlignment="1">
      <alignment vertical="top" wrapText="1"/>
    </xf>
    <xf numFmtId="167" fontId="18" fillId="6" borderId="1" xfId="4" applyNumberFormat="1" applyFont="1" applyFill="1" applyBorder="1" applyAlignment="1">
      <alignment horizontal="right" vertical="center" wrapText="1"/>
    </xf>
    <xf numFmtId="49" fontId="23" fillId="6" borderId="1" xfId="0" applyNumberFormat="1" applyFont="1" applyFill="1" applyBorder="1" applyAlignment="1">
      <alignment vertical="top" wrapText="1"/>
    </xf>
    <xf numFmtId="49" fontId="20" fillId="6" borderId="1" xfId="0" applyNumberFormat="1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vertical="top" wrapText="1"/>
    </xf>
    <xf numFmtId="0" fontId="20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168" fontId="20" fillId="6" borderId="1" xfId="4" applyNumberFormat="1" applyFont="1" applyFill="1" applyBorder="1" applyAlignment="1">
      <alignment horizontal="right" vertical="center" wrapText="1"/>
    </xf>
    <xf numFmtId="0" fontId="16" fillId="6" borderId="1" xfId="0" applyNumberFormat="1" applyFont="1" applyFill="1" applyBorder="1" applyAlignment="1">
      <alignment vertical="top" wrapText="1"/>
    </xf>
    <xf numFmtId="168" fontId="16" fillId="6" borderId="1" xfId="4" applyNumberFormat="1" applyFont="1" applyFill="1" applyBorder="1" applyAlignment="1">
      <alignment horizontal="right" vertical="center" wrapText="1"/>
    </xf>
    <xf numFmtId="168" fontId="10" fillId="6" borderId="1" xfId="4" applyNumberFormat="1" applyFont="1" applyFill="1" applyBorder="1" applyAlignment="1">
      <alignment horizontal="right" vertical="center" wrapText="1"/>
    </xf>
    <xf numFmtId="0" fontId="16" fillId="6" borderId="1" xfId="0" applyFont="1" applyFill="1" applyBorder="1" applyAlignment="1">
      <alignment horizontal="center" vertical="top" wrapText="1"/>
    </xf>
    <xf numFmtId="0" fontId="10" fillId="6" borderId="1" xfId="0" applyFont="1" applyFill="1" applyBorder="1" applyAlignment="1">
      <alignment horizontal="center" vertical="top" wrapText="1"/>
    </xf>
    <xf numFmtId="0" fontId="20" fillId="6" borderId="1" xfId="0" applyNumberFormat="1" applyFont="1" applyFill="1" applyBorder="1" applyAlignment="1">
      <alignment vertical="top" wrapText="1"/>
    </xf>
    <xf numFmtId="0" fontId="18" fillId="6" borderId="1" xfId="0" applyFont="1" applyFill="1" applyBorder="1" applyAlignment="1">
      <alignment vertical="top" wrapText="1"/>
    </xf>
    <xf numFmtId="0" fontId="18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wrapText="1"/>
    </xf>
    <xf numFmtId="166" fontId="20" fillId="6" borderId="1" xfId="4" applyNumberFormat="1" applyFont="1" applyFill="1" applyBorder="1" applyAlignment="1">
      <alignment horizontal="right" vertical="center" wrapText="1"/>
    </xf>
    <xf numFmtId="2" fontId="16" fillId="6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166" fontId="16" fillId="6" borderId="1" xfId="0" applyNumberFormat="1" applyFont="1" applyFill="1" applyBorder="1" applyAlignment="1">
      <alignment vertical="top" wrapText="1"/>
    </xf>
    <xf numFmtId="49" fontId="4" fillId="6" borderId="1" xfId="0" applyNumberFormat="1" applyFont="1" applyFill="1" applyBorder="1" applyAlignment="1">
      <alignment horizontal="center" vertical="center" wrapText="1"/>
    </xf>
    <xf numFmtId="167" fontId="6" fillId="6" borderId="1" xfId="4" applyNumberFormat="1" applyFont="1" applyFill="1" applyBorder="1" applyAlignment="1">
      <alignment horizontal="right" vertical="center" wrapText="1"/>
    </xf>
    <xf numFmtId="49" fontId="19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vertical="top" wrapText="1"/>
    </xf>
    <xf numFmtId="167" fontId="10" fillId="6" borderId="1" xfId="4" applyNumberFormat="1" applyFont="1" applyFill="1" applyBorder="1" applyAlignment="1">
      <alignment horizontal="right" vertical="top" wrapText="1"/>
    </xf>
    <xf numFmtId="0" fontId="6" fillId="6" borderId="1" xfId="0" applyFont="1" applyFill="1" applyBorder="1" applyAlignment="1">
      <alignment vertical="top" wrapText="1"/>
    </xf>
    <xf numFmtId="0" fontId="18" fillId="6" borderId="1" xfId="0" applyNumberFormat="1" applyFont="1" applyFill="1" applyBorder="1" applyAlignment="1">
      <alignment vertical="top" wrapText="1"/>
    </xf>
    <xf numFmtId="166" fontId="22" fillId="6" borderId="1" xfId="0" applyNumberFormat="1" applyFont="1" applyFill="1" applyBorder="1" applyAlignment="1">
      <alignment vertical="top" wrapText="1"/>
    </xf>
    <xf numFmtId="166" fontId="16" fillId="6" borderId="1" xfId="0" applyNumberFormat="1" applyFont="1" applyFill="1" applyBorder="1" applyAlignment="1">
      <alignment horizontal="center" vertical="center" wrapText="1"/>
    </xf>
    <xf numFmtId="166" fontId="10" fillId="6" borderId="1" xfId="0" applyNumberFormat="1" applyFont="1" applyFill="1" applyBorder="1" applyAlignment="1">
      <alignment horizontal="center" vertical="center" wrapText="1"/>
    </xf>
    <xf numFmtId="3" fontId="16" fillId="6" borderId="1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166" fontId="4" fillId="6" borderId="1" xfId="4" applyNumberFormat="1" applyFont="1" applyFill="1" applyBorder="1" applyAlignment="1">
      <alignment horizontal="center" vertical="center" wrapText="1"/>
    </xf>
    <xf numFmtId="166" fontId="6" fillId="6" borderId="1" xfId="4" applyNumberFormat="1" applyFont="1" applyFill="1" applyBorder="1" applyAlignment="1">
      <alignment horizontal="center" vertical="center" wrapText="1"/>
    </xf>
    <xf numFmtId="166" fontId="20" fillId="6" borderId="1" xfId="4" applyNumberFormat="1" applyFont="1" applyFill="1" applyBorder="1" applyAlignment="1">
      <alignment horizontal="center" vertical="center" wrapText="1"/>
    </xf>
    <xf numFmtId="0" fontId="14" fillId="6" borderId="0" xfId="0" applyFont="1" applyFill="1"/>
    <xf numFmtId="0" fontId="0" fillId="6" borderId="0" xfId="0" applyFill="1"/>
    <xf numFmtId="49" fontId="20" fillId="7" borderId="1" xfId="0" applyNumberFormat="1" applyFon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/>
    </xf>
    <xf numFmtId="167" fontId="30" fillId="7" borderId="1" xfId="4" applyNumberFormat="1" applyFont="1" applyFill="1" applyBorder="1" applyAlignment="1">
      <alignment horizontal="right" vertical="center" wrapText="1"/>
    </xf>
    <xf numFmtId="49" fontId="16" fillId="6" borderId="1" xfId="0" applyNumberFormat="1" applyFont="1" applyFill="1" applyBorder="1" applyAlignment="1">
      <alignment horizontal="center" vertical="top" wrapText="1"/>
    </xf>
    <xf numFmtId="0" fontId="16" fillId="6" borderId="1" xfId="0" applyNumberFormat="1" applyFont="1" applyFill="1" applyBorder="1" applyAlignment="1">
      <alignment vertical="center" wrapText="1"/>
    </xf>
    <xf numFmtId="0" fontId="16" fillId="6" borderId="1" xfId="0" applyFont="1" applyFill="1" applyBorder="1" applyAlignment="1">
      <alignment vertical="center" wrapText="1"/>
    </xf>
    <xf numFmtId="0" fontId="20" fillId="7" borderId="1" xfId="0" applyFont="1" applyFill="1" applyBorder="1" applyAlignment="1">
      <alignment horizontal="center" vertical="center" wrapText="1"/>
    </xf>
    <xf numFmtId="167" fontId="20" fillId="7" borderId="1" xfId="4" applyNumberFormat="1" applyFont="1" applyFill="1" applyBorder="1" applyAlignment="1">
      <alignment horizontal="right" vertical="center" wrapText="1"/>
    </xf>
    <xf numFmtId="49" fontId="20" fillId="8" borderId="1" xfId="0" applyNumberFormat="1" applyFont="1" applyFill="1" applyBorder="1" applyAlignment="1">
      <alignment vertical="top" wrapText="1"/>
    </xf>
    <xf numFmtId="49" fontId="20" fillId="8" borderId="1" xfId="0" applyNumberFormat="1" applyFont="1" applyFill="1" applyBorder="1" applyAlignment="1">
      <alignment horizontal="center" vertical="center" wrapText="1"/>
    </xf>
    <xf numFmtId="168" fontId="20" fillId="8" borderId="1" xfId="4" applyNumberFormat="1" applyFont="1" applyFill="1" applyBorder="1" applyAlignment="1">
      <alignment horizontal="right" vertical="center" wrapText="1"/>
    </xf>
    <xf numFmtId="167" fontId="20" fillId="8" borderId="1" xfId="4" applyNumberFormat="1" applyFont="1" applyFill="1" applyBorder="1" applyAlignment="1">
      <alignment horizontal="right" vertical="center" wrapText="1"/>
    </xf>
    <xf numFmtId="166" fontId="20" fillId="7" borderId="1" xfId="4" applyNumberFormat="1" applyFont="1" applyFill="1" applyBorder="1" applyAlignment="1">
      <alignment horizontal="right" vertical="center" wrapText="1"/>
    </xf>
    <xf numFmtId="0" fontId="20" fillId="7" borderId="1" xfId="0" applyNumberFormat="1" applyFont="1" applyFill="1" applyBorder="1" applyAlignment="1">
      <alignment vertical="top" wrapText="1"/>
    </xf>
    <xf numFmtId="49" fontId="19" fillId="7" borderId="1" xfId="0" applyNumberFormat="1" applyFont="1" applyFill="1" applyBorder="1" applyAlignment="1">
      <alignment horizontal="center" vertical="center" wrapText="1"/>
    </xf>
    <xf numFmtId="0" fontId="26" fillId="7" borderId="1" xfId="0" applyNumberFormat="1" applyFont="1" applyFill="1" applyBorder="1" applyAlignment="1">
      <alignment vertical="top" wrapText="1"/>
    </xf>
    <xf numFmtId="167" fontId="5" fillId="3" borderId="1" xfId="4" applyNumberFormat="1" applyFont="1" applyFill="1" applyBorder="1" applyAlignment="1">
      <alignment horizontal="right" vertical="center" wrapText="1"/>
    </xf>
    <xf numFmtId="0" fontId="10" fillId="6" borderId="1" xfId="0" applyFont="1" applyFill="1" applyBorder="1" applyAlignment="1">
      <alignment vertical="top" wrapText="1"/>
    </xf>
    <xf numFmtId="166" fontId="11" fillId="6" borderId="1" xfId="4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12" fillId="6" borderId="0" xfId="0" applyFont="1" applyFill="1"/>
    <xf numFmtId="0" fontId="15" fillId="6" borderId="0" xfId="0" applyFont="1" applyFill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top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vertical="top" wrapText="1"/>
    </xf>
    <xf numFmtId="166" fontId="18" fillId="6" borderId="1" xfId="4" applyNumberFormat="1" applyFont="1" applyFill="1" applyBorder="1" applyAlignment="1">
      <alignment horizontal="right" vertical="center" wrapText="1"/>
    </xf>
    <xf numFmtId="166" fontId="18" fillId="0" borderId="1" xfId="4" applyNumberFormat="1" applyFont="1" applyFill="1" applyBorder="1" applyAlignment="1">
      <alignment horizontal="right" vertical="center" wrapText="1"/>
    </xf>
    <xf numFmtId="0" fontId="20" fillId="0" borderId="1" xfId="0" applyNumberFormat="1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vertical="top" wrapText="1"/>
    </xf>
    <xf numFmtId="167" fontId="20" fillId="0" borderId="1" xfId="4" applyNumberFormat="1" applyFont="1" applyFill="1" applyBorder="1" applyAlignment="1">
      <alignment horizontal="right" vertical="center" wrapText="1"/>
    </xf>
    <xf numFmtId="49" fontId="19" fillId="8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49" fontId="16" fillId="6" borderId="1" xfId="0" applyNumberFormat="1" applyFont="1" applyFill="1" applyBorder="1" applyAlignment="1">
      <alignment wrapText="1"/>
    </xf>
    <xf numFmtId="49" fontId="10" fillId="6" borderId="1" xfId="0" applyNumberFormat="1" applyFont="1" applyFill="1" applyBorder="1" applyAlignment="1">
      <alignment wrapText="1"/>
    </xf>
    <xf numFmtId="168" fontId="17" fillId="6" borderId="1" xfId="4" applyNumberFormat="1" applyFont="1" applyFill="1" applyBorder="1" applyAlignment="1">
      <alignment horizontal="right" vertical="center" wrapText="1"/>
    </xf>
    <xf numFmtId="0" fontId="17" fillId="0" borderId="1" xfId="0" applyNumberFormat="1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10" fillId="9" borderId="1" xfId="0" applyNumberFormat="1" applyFont="1" applyFill="1" applyBorder="1" applyAlignment="1">
      <alignment vertical="top" wrapText="1"/>
    </xf>
    <xf numFmtId="168" fontId="16" fillId="0" borderId="1" xfId="0" applyNumberFormat="1" applyFont="1" applyBorder="1" applyAlignment="1">
      <alignment horizontal="center" vertical="center" wrapText="1"/>
    </xf>
    <xf numFmtId="169" fontId="20" fillId="7" borderId="1" xfId="4" applyNumberFormat="1" applyFont="1" applyFill="1" applyBorder="1" applyAlignment="1">
      <alignment horizontal="right" vertical="center" wrapText="1"/>
    </xf>
    <xf numFmtId="169" fontId="16" fillId="0" borderId="1" xfId="4" applyNumberFormat="1" applyFont="1" applyFill="1" applyBorder="1" applyAlignment="1">
      <alignment horizontal="right"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169" fontId="16" fillId="6" borderId="1" xfId="4" applyNumberFormat="1" applyFont="1" applyFill="1" applyBorder="1" applyAlignment="1">
      <alignment horizontal="right" vertical="center" wrapText="1"/>
    </xf>
    <xf numFmtId="169" fontId="10" fillId="6" borderId="1" xfId="4" applyNumberFormat="1" applyFont="1" applyFill="1" applyBorder="1" applyAlignment="1">
      <alignment horizontal="right" vertical="center" wrapText="1"/>
    </xf>
    <xf numFmtId="169" fontId="20" fillId="6" borderId="1" xfId="4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vertical="top" wrapText="1"/>
    </xf>
    <xf numFmtId="169" fontId="17" fillId="6" borderId="1" xfId="4" applyNumberFormat="1" applyFont="1" applyFill="1" applyBorder="1" applyAlignment="1">
      <alignment horizontal="right" vertical="center" wrapText="1"/>
    </xf>
    <xf numFmtId="169" fontId="17" fillId="0" borderId="1" xfId="4" applyNumberFormat="1" applyFont="1" applyFill="1" applyBorder="1" applyAlignment="1">
      <alignment horizontal="right" vertical="center" wrapText="1"/>
    </xf>
    <xf numFmtId="167" fontId="0" fillId="0" borderId="0" xfId="0" applyNumberFormat="1" applyFill="1"/>
    <xf numFmtId="166" fontId="10" fillId="6" borderId="1" xfId="4" applyNumberFormat="1" applyFont="1" applyFill="1" applyBorder="1" applyAlignment="1">
      <alignment horizontal="right" vertical="top" wrapText="1"/>
    </xf>
    <xf numFmtId="166" fontId="4" fillId="6" borderId="1" xfId="4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167" fontId="4" fillId="6" borderId="1" xfId="4" applyNumberFormat="1" applyFont="1" applyFill="1" applyBorder="1" applyAlignment="1">
      <alignment horizontal="right" vertical="center" wrapText="1"/>
    </xf>
    <xf numFmtId="167" fontId="6" fillId="0" borderId="1" xfId="4" applyNumberFormat="1" applyFont="1" applyFill="1" applyBorder="1" applyAlignment="1">
      <alignment horizontal="right" vertical="center" wrapText="1"/>
    </xf>
    <xf numFmtId="0" fontId="31" fillId="0" borderId="1" xfId="0" applyFont="1" applyFill="1" applyBorder="1" applyAlignment="1">
      <alignment vertical="top" wrapText="1"/>
    </xf>
    <xf numFmtId="167" fontId="4" fillId="0" borderId="1" xfId="4" applyNumberFormat="1" applyFont="1" applyFill="1" applyBorder="1" applyAlignment="1">
      <alignment horizontal="right" vertical="center" wrapText="1"/>
    </xf>
    <xf numFmtId="170" fontId="8" fillId="2" borderId="1" xfId="4" applyNumberFormat="1" applyFont="1" applyFill="1" applyBorder="1" applyAlignment="1">
      <alignment horizontal="right" vertical="center" wrapText="1"/>
    </xf>
    <xf numFmtId="0" fontId="4" fillId="6" borderId="0" xfId="0" applyFont="1" applyFill="1"/>
    <xf numFmtId="168" fontId="6" fillId="6" borderId="1" xfId="0" applyNumberFormat="1" applyFont="1" applyFill="1" applyBorder="1" applyAlignment="1">
      <alignment horizontal="right" vertical="center" wrapText="1"/>
    </xf>
    <xf numFmtId="168" fontId="4" fillId="6" borderId="1" xfId="0" applyNumberFormat="1" applyFont="1" applyFill="1" applyBorder="1" applyAlignment="1">
      <alignment horizontal="right" vertical="center" wrapText="1"/>
    </xf>
    <xf numFmtId="168" fontId="20" fillId="6" borderId="1" xfId="0" applyNumberFormat="1" applyFont="1" applyFill="1" applyBorder="1" applyAlignment="1">
      <alignment horizontal="right" vertical="center" wrapText="1"/>
    </xf>
    <xf numFmtId="166" fontId="17" fillId="0" borderId="1" xfId="4" applyNumberFormat="1" applyFont="1" applyFill="1" applyBorder="1" applyAlignment="1">
      <alignment horizontal="right" vertical="center" wrapText="1"/>
    </xf>
    <xf numFmtId="0" fontId="21" fillId="7" borderId="0" xfId="0" applyFont="1" applyFill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center" vertical="center"/>
    </xf>
    <xf numFmtId="169" fontId="3" fillId="0" borderId="0" xfId="0" applyNumberFormat="1" applyFont="1" applyAlignment="1">
      <alignment horizontal="right"/>
    </xf>
    <xf numFmtId="49" fontId="11" fillId="6" borderId="1" xfId="0" applyNumberFormat="1" applyFont="1" applyFill="1" applyBorder="1" applyAlignment="1">
      <alignment horizontal="center" vertical="center"/>
    </xf>
    <xf numFmtId="167" fontId="0" fillId="6" borderId="0" xfId="0" applyNumberFormat="1" applyFill="1"/>
    <xf numFmtId="167" fontId="15" fillId="6" borderId="0" xfId="0" applyNumberFormat="1" applyFont="1" applyFill="1"/>
    <xf numFmtId="167" fontId="0" fillId="0" borderId="0" xfId="0" applyNumberFormat="1"/>
    <xf numFmtId="0" fontId="9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right" wrapText="1"/>
    </xf>
    <xf numFmtId="0" fontId="9" fillId="0" borderId="0" xfId="0" applyFont="1"/>
    <xf numFmtId="0" fontId="5" fillId="0" borderId="0" xfId="0" applyFont="1" applyAlignment="1">
      <alignment horizontal="center"/>
    </xf>
    <xf numFmtId="168" fontId="4" fillId="0" borderId="2" xfId="4" applyNumberFormat="1" applyFont="1" applyBorder="1" applyAlignment="1">
      <alignment horizontal="right"/>
    </xf>
    <xf numFmtId="166" fontId="4" fillId="0" borderId="2" xfId="4" applyNumberFormat="1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25" fillId="0" borderId="0" xfId="0" applyNumberFormat="1" applyFont="1" applyFill="1" applyAlignment="1">
      <alignment horizontal="center" vertical="top" wrapText="1"/>
    </xf>
    <xf numFmtId="0" fontId="24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right"/>
    </xf>
  </cellXfs>
  <cellStyles count="5">
    <cellStyle name="xl30" xfId="1"/>
    <cellStyle name="Обычный" xfId="0" builtinId="0"/>
    <cellStyle name="Тысячи [0]_Лист1" xfId="2"/>
    <cellStyle name="Тысячи_Лист1" xfId="3"/>
    <cellStyle name="Финансовый" xfId="4" builtinId="3"/>
  </cellStyles>
  <dxfs count="0"/>
  <tableStyles count="0" defaultTableStyle="TableStyleMedium2" defaultPivotStyle="PivotStyleLight16"/>
  <colors>
    <mruColors>
      <color rgb="FFFF9966"/>
      <color rgb="FF9966FF"/>
      <color rgb="FFCC00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10"/>
  </sheetPr>
  <dimension ref="A1:F85"/>
  <sheetViews>
    <sheetView view="pageBreakPreview" topLeftCell="A61" zoomScale="140" zoomScaleNormal="130" zoomScaleSheetLayoutView="140" workbookViewId="0">
      <selection activeCell="E68" sqref="E68"/>
    </sheetView>
  </sheetViews>
  <sheetFormatPr defaultRowHeight="12.75"/>
  <cols>
    <col min="1" max="1" width="25.42578125" customWidth="1"/>
    <col min="2" max="2" width="49.7109375" customWidth="1"/>
    <col min="3" max="3" width="14" customWidth="1"/>
    <col min="4" max="4" width="13.5703125" customWidth="1"/>
    <col min="5" max="5" width="13.42578125" customWidth="1"/>
    <col min="6" max="6" width="9.42578125" customWidth="1"/>
  </cols>
  <sheetData>
    <row r="1" spans="1:6" ht="24.75" customHeight="1">
      <c r="A1" s="260"/>
      <c r="B1" s="260"/>
      <c r="C1" s="260"/>
      <c r="D1" s="204"/>
      <c r="E1" s="253"/>
      <c r="F1" s="204"/>
    </row>
    <row r="2" spans="1:6" ht="15.75" customHeight="1">
      <c r="A2" s="259" t="s">
        <v>776</v>
      </c>
      <c r="B2" s="259"/>
      <c r="C2" s="259"/>
      <c r="D2" s="259"/>
      <c r="E2" s="259"/>
      <c r="F2" s="259"/>
    </row>
    <row r="3" spans="1:6" ht="15.75" customHeight="1">
      <c r="A3" s="259" t="s">
        <v>786</v>
      </c>
      <c r="B3" s="259"/>
      <c r="C3" s="259"/>
      <c r="D3" s="259"/>
      <c r="E3" s="259"/>
      <c r="F3" s="259"/>
    </row>
    <row r="4" spans="1:6" ht="9" customHeight="1">
      <c r="A4" s="261" t="s">
        <v>470</v>
      </c>
      <c r="B4" s="261"/>
      <c r="C4" s="261"/>
      <c r="D4" s="261"/>
      <c r="E4" s="261"/>
      <c r="F4" s="261"/>
    </row>
    <row r="5" spans="1:6" ht="40.5" customHeight="1">
      <c r="A5" s="57" t="s">
        <v>471</v>
      </c>
      <c r="B5" s="57" t="s">
        <v>284</v>
      </c>
      <c r="C5" s="57" t="s">
        <v>787</v>
      </c>
      <c r="D5" s="57" t="s">
        <v>788</v>
      </c>
      <c r="E5" s="57" t="s">
        <v>789</v>
      </c>
      <c r="F5" s="57" t="s">
        <v>782</v>
      </c>
    </row>
    <row r="6" spans="1:6" ht="14.25">
      <c r="A6" s="103" t="s">
        <v>472</v>
      </c>
      <c r="B6" s="107" t="s">
        <v>473</v>
      </c>
      <c r="C6" s="108">
        <f>C7+C9+C11+C16+C20+C21+C26+C28+C29+C32+C33</f>
        <v>2396010</v>
      </c>
      <c r="D6" s="108">
        <f>D7+D9+D11+D16+D20+D21+D26+D28+D29+D32+D33</f>
        <v>1824837.11326</v>
      </c>
      <c r="E6" s="108">
        <f>E7+E9+E11+E16+E20+E21+E26+E28+E29+E32+E33</f>
        <v>2298058.6432000003</v>
      </c>
      <c r="F6" s="108">
        <f>E6/C6*100</f>
        <v>95.911896995421557</v>
      </c>
    </row>
    <row r="7" spans="1:6" s="30" customFormat="1">
      <c r="A7" s="59" t="s">
        <v>474</v>
      </c>
      <c r="B7" s="56" t="s">
        <v>475</v>
      </c>
      <c r="C7" s="106">
        <f>C8</f>
        <v>1081074</v>
      </c>
      <c r="D7" s="106">
        <f>D8</f>
        <v>833162.82759999996</v>
      </c>
      <c r="E7" s="106">
        <f>E8</f>
        <v>1100074</v>
      </c>
      <c r="F7" s="246">
        <f t="shared" ref="F7:F66" si="0">E7/C7*100</f>
        <v>101.7575115117004</v>
      </c>
    </row>
    <row r="8" spans="1:6" s="30" customFormat="1">
      <c r="A8" s="74" t="s">
        <v>476</v>
      </c>
      <c r="B8" s="98" t="s">
        <v>477</v>
      </c>
      <c r="C8" s="104">
        <f>1068074+13000</f>
        <v>1081074</v>
      </c>
      <c r="D8" s="104">
        <v>833162.82759999996</v>
      </c>
      <c r="E8" s="104">
        <v>1100074</v>
      </c>
      <c r="F8" s="247">
        <f t="shared" si="0"/>
        <v>101.7575115117004</v>
      </c>
    </row>
    <row r="9" spans="1:6" s="30" customFormat="1" ht="25.5">
      <c r="A9" s="10" t="s">
        <v>144</v>
      </c>
      <c r="B9" s="56" t="s">
        <v>145</v>
      </c>
      <c r="C9" s="106">
        <f>C10</f>
        <v>19534</v>
      </c>
      <c r="D9" s="106">
        <f>D10</f>
        <v>14522.03643</v>
      </c>
      <c r="E9" s="106">
        <f>E10</f>
        <v>17757</v>
      </c>
      <c r="F9" s="246">
        <f t="shared" si="0"/>
        <v>90.903040851848061</v>
      </c>
    </row>
    <row r="10" spans="1:6" s="30" customFormat="1" ht="25.5">
      <c r="A10" s="74" t="s">
        <v>121</v>
      </c>
      <c r="B10" s="98" t="s">
        <v>492</v>
      </c>
      <c r="C10" s="104">
        <v>19534</v>
      </c>
      <c r="D10" s="104">
        <v>14522.03643</v>
      </c>
      <c r="E10" s="104">
        <v>17757</v>
      </c>
      <c r="F10" s="247">
        <f t="shared" si="0"/>
        <v>90.903040851848061</v>
      </c>
    </row>
    <row r="11" spans="1:6" s="30" customFormat="1">
      <c r="A11" s="10" t="s">
        <v>478</v>
      </c>
      <c r="B11" s="56" t="s">
        <v>479</v>
      </c>
      <c r="C11" s="106">
        <f>C12+C13+C14+C15</f>
        <v>595059</v>
      </c>
      <c r="D11" s="106">
        <f>D12+D13+D14+D15</f>
        <v>494617.51972000004</v>
      </c>
      <c r="E11" s="106">
        <f>E12+E13+E14+E15</f>
        <v>586844</v>
      </c>
      <c r="F11" s="246">
        <f t="shared" si="0"/>
        <v>98.619464624516226</v>
      </c>
    </row>
    <row r="12" spans="1:6" s="30" customFormat="1" ht="25.5">
      <c r="A12" s="74" t="s">
        <v>480</v>
      </c>
      <c r="B12" s="98" t="s">
        <v>481</v>
      </c>
      <c r="C12" s="104">
        <f>460151+32000</f>
        <v>492151</v>
      </c>
      <c r="D12" s="104">
        <v>415831.85102</v>
      </c>
      <c r="E12" s="104">
        <v>495151</v>
      </c>
      <c r="F12" s="247">
        <f t="shared" si="0"/>
        <v>100.60956901438787</v>
      </c>
    </row>
    <row r="13" spans="1:6" s="30" customFormat="1" ht="25.5">
      <c r="A13" s="74" t="s">
        <v>482</v>
      </c>
      <c r="B13" s="98" t="s">
        <v>0</v>
      </c>
      <c r="C13" s="104">
        <v>96138</v>
      </c>
      <c r="D13" s="104">
        <v>68811.812160000001</v>
      </c>
      <c r="E13" s="104">
        <v>80138</v>
      </c>
      <c r="F13" s="247">
        <f t="shared" si="0"/>
        <v>83.357257275999089</v>
      </c>
    </row>
    <row r="14" spans="1:6" s="30" customFormat="1">
      <c r="A14" s="74" t="s">
        <v>1</v>
      </c>
      <c r="B14" s="98" t="s">
        <v>2</v>
      </c>
      <c r="C14" s="104">
        <v>4515</v>
      </c>
      <c r="D14" s="104">
        <v>8231.6144199999999</v>
      </c>
      <c r="E14" s="104">
        <v>9000</v>
      </c>
      <c r="F14" s="247">
        <f t="shared" si="0"/>
        <v>199.33554817275748</v>
      </c>
    </row>
    <row r="15" spans="1:6" s="30" customFormat="1" ht="25.5">
      <c r="A15" s="14" t="s">
        <v>122</v>
      </c>
      <c r="B15" s="98" t="s">
        <v>180</v>
      </c>
      <c r="C15" s="104">
        <v>2255</v>
      </c>
      <c r="D15" s="104">
        <v>1742.2421200000001</v>
      </c>
      <c r="E15" s="104">
        <v>2555</v>
      </c>
      <c r="F15" s="247">
        <f t="shared" si="0"/>
        <v>113.30376940133038</v>
      </c>
    </row>
    <row r="16" spans="1:6" s="30" customFormat="1">
      <c r="A16" s="10" t="s">
        <v>3</v>
      </c>
      <c r="B16" s="56" t="s">
        <v>4</v>
      </c>
      <c r="C16" s="106">
        <f>C17+C18+C19</f>
        <v>421657</v>
      </c>
      <c r="D16" s="106">
        <f>D17+D18+D19</f>
        <v>281433.89818000002</v>
      </c>
      <c r="E16" s="106">
        <f>E17+E18+E19</f>
        <v>350657</v>
      </c>
      <c r="F16" s="246">
        <f t="shared" si="0"/>
        <v>83.161669318901374</v>
      </c>
    </row>
    <row r="17" spans="1:6" s="30" customFormat="1">
      <c r="A17" s="74" t="s">
        <v>5</v>
      </c>
      <c r="B17" s="98" t="s">
        <v>6</v>
      </c>
      <c r="C17" s="104">
        <v>64981</v>
      </c>
      <c r="D17" s="104">
        <v>42116.185640000003</v>
      </c>
      <c r="E17" s="104">
        <v>69981</v>
      </c>
      <c r="F17" s="247">
        <f t="shared" si="0"/>
        <v>107.69455687046982</v>
      </c>
    </row>
    <row r="18" spans="1:6" s="30" customFormat="1">
      <c r="A18" s="74" t="s">
        <v>146</v>
      </c>
      <c r="B18" s="98" t="s">
        <v>147</v>
      </c>
      <c r="C18" s="104">
        <f>91300+19000</f>
        <v>110300</v>
      </c>
      <c r="D18" s="104">
        <v>77934.573669999998</v>
      </c>
      <c r="E18" s="104">
        <v>93300</v>
      </c>
      <c r="F18" s="247">
        <f t="shared" si="0"/>
        <v>84.587488667271089</v>
      </c>
    </row>
    <row r="19" spans="1:6" s="30" customFormat="1">
      <c r="A19" s="74" t="s">
        <v>7</v>
      </c>
      <c r="B19" s="98" t="s">
        <v>8</v>
      </c>
      <c r="C19" s="104">
        <f>210376+36000</f>
        <v>246376</v>
      </c>
      <c r="D19" s="104">
        <v>161383.13887</v>
      </c>
      <c r="E19" s="104">
        <v>187376</v>
      </c>
      <c r="F19" s="247">
        <f t="shared" si="0"/>
        <v>76.052862291781665</v>
      </c>
    </row>
    <row r="20" spans="1:6" s="30" customFormat="1">
      <c r="A20" s="10" t="s">
        <v>9</v>
      </c>
      <c r="B20" s="56" t="s">
        <v>10</v>
      </c>
      <c r="C20" s="106">
        <v>66325</v>
      </c>
      <c r="D20" s="106">
        <v>43985.368609999998</v>
      </c>
      <c r="E20" s="106">
        <v>55325</v>
      </c>
      <c r="F20" s="246">
        <f t="shared" si="0"/>
        <v>83.415001884658878</v>
      </c>
    </row>
    <row r="21" spans="1:6" s="30" customFormat="1" ht="25.5">
      <c r="A21" s="10" t="s">
        <v>11</v>
      </c>
      <c r="B21" s="56" t="s">
        <v>12</v>
      </c>
      <c r="C21" s="106">
        <f>C22+C23+C24+C25</f>
        <v>117161</v>
      </c>
      <c r="D21" s="106">
        <f>D22+D23+D24+D25</f>
        <v>77688.870299999995</v>
      </c>
      <c r="E21" s="106">
        <f>E22+E23+E24+E25</f>
        <v>92072.2</v>
      </c>
      <c r="F21" s="246">
        <f t="shared" si="0"/>
        <v>78.586048258379492</v>
      </c>
    </row>
    <row r="22" spans="1:6" s="30" customFormat="1" ht="76.5">
      <c r="A22" s="74" t="s">
        <v>123</v>
      </c>
      <c r="B22" s="98" t="s">
        <v>538</v>
      </c>
      <c r="C22" s="104">
        <v>100563</v>
      </c>
      <c r="D22" s="104">
        <v>61942.699399999998</v>
      </c>
      <c r="E22" s="104">
        <v>72000</v>
      </c>
      <c r="F22" s="247">
        <f t="shared" si="0"/>
        <v>71.596909400077564</v>
      </c>
    </row>
    <row r="23" spans="1:6" s="30" customFormat="1" ht="63.75">
      <c r="A23" s="74" t="s">
        <v>98</v>
      </c>
      <c r="B23" s="98" t="s">
        <v>119</v>
      </c>
      <c r="C23" s="104">
        <v>6000</v>
      </c>
      <c r="D23" s="104">
        <v>7023.5130200000003</v>
      </c>
      <c r="E23" s="104">
        <v>8000</v>
      </c>
      <c r="F23" s="247">
        <f t="shared" si="0"/>
        <v>133.33333333333331</v>
      </c>
    </row>
    <row r="24" spans="1:6" s="30" customFormat="1" ht="76.5">
      <c r="A24" s="14" t="s">
        <v>282</v>
      </c>
      <c r="B24" s="98" t="s">
        <v>283</v>
      </c>
      <c r="C24" s="104">
        <v>9968</v>
      </c>
      <c r="D24" s="104">
        <v>8495.9578799999999</v>
      </c>
      <c r="E24" s="104">
        <v>11845.5</v>
      </c>
      <c r="F24" s="247">
        <f t="shared" si="0"/>
        <v>118.83527287319421</v>
      </c>
    </row>
    <row r="25" spans="1:6" s="30" customFormat="1" ht="51">
      <c r="A25" s="74" t="s">
        <v>258</v>
      </c>
      <c r="B25" s="98" t="s">
        <v>261</v>
      </c>
      <c r="C25" s="104">
        <v>630</v>
      </c>
      <c r="D25" s="104">
        <v>226.7</v>
      </c>
      <c r="E25" s="104">
        <v>226.7</v>
      </c>
      <c r="F25" s="247">
        <f t="shared" si="0"/>
        <v>35.984126984126988</v>
      </c>
    </row>
    <row r="26" spans="1:6" s="30" customFormat="1">
      <c r="A26" s="10" t="s">
        <v>13</v>
      </c>
      <c r="B26" s="56" t="s">
        <v>14</v>
      </c>
      <c r="C26" s="106">
        <f>C27</f>
        <v>3100</v>
      </c>
      <c r="D26" s="106">
        <f>D27</f>
        <v>3171.66912</v>
      </c>
      <c r="E26" s="106">
        <f>E27</f>
        <v>5276</v>
      </c>
      <c r="F26" s="246">
        <f t="shared" si="0"/>
        <v>170.19354838709677</v>
      </c>
    </row>
    <row r="27" spans="1:6" s="30" customFormat="1">
      <c r="A27" s="74" t="s">
        <v>15</v>
      </c>
      <c r="B27" s="98" t="s">
        <v>16</v>
      </c>
      <c r="C27" s="104">
        <v>3100</v>
      </c>
      <c r="D27" s="104">
        <v>3171.66912</v>
      </c>
      <c r="E27" s="104">
        <v>5276</v>
      </c>
      <c r="F27" s="247">
        <f t="shared" si="0"/>
        <v>170.19354838709677</v>
      </c>
    </row>
    <row r="28" spans="1:6" s="30" customFormat="1" ht="25.5">
      <c r="A28" s="10" t="s">
        <v>124</v>
      </c>
      <c r="B28" s="56" t="s">
        <v>285</v>
      </c>
      <c r="C28" s="106">
        <v>700</v>
      </c>
      <c r="D28" s="106">
        <v>912.40817000000004</v>
      </c>
      <c r="E28" s="106">
        <v>1000</v>
      </c>
      <c r="F28" s="246">
        <f t="shared" si="0"/>
        <v>142.85714285714286</v>
      </c>
    </row>
    <row r="29" spans="1:6" s="30" customFormat="1" ht="25.5">
      <c r="A29" s="10" t="s">
        <v>17</v>
      </c>
      <c r="B29" s="56" t="s">
        <v>18</v>
      </c>
      <c r="C29" s="106">
        <f>C30+C31</f>
        <v>30000</v>
      </c>
      <c r="D29" s="106">
        <f>D30+D31</f>
        <v>32349.495710000003</v>
      </c>
      <c r="E29" s="106">
        <f>E30+E31</f>
        <v>37053.443200000002</v>
      </c>
      <c r="F29" s="246">
        <f t="shared" si="0"/>
        <v>123.51147733333335</v>
      </c>
    </row>
    <row r="30" spans="1:6" s="30" customFormat="1" ht="76.5">
      <c r="A30" s="74" t="s">
        <v>133</v>
      </c>
      <c r="B30" s="98" t="s">
        <v>539</v>
      </c>
      <c r="C30" s="104">
        <v>8000</v>
      </c>
      <c r="D30" s="104">
        <v>12053.4432</v>
      </c>
      <c r="E30" s="104">
        <v>12053.4432</v>
      </c>
      <c r="F30" s="247">
        <f t="shared" si="0"/>
        <v>150.66803999999999</v>
      </c>
    </row>
    <row r="31" spans="1:6" s="30" customFormat="1" ht="38.25">
      <c r="A31" s="74" t="s">
        <v>19</v>
      </c>
      <c r="B31" s="98" t="s">
        <v>20</v>
      </c>
      <c r="C31" s="104">
        <v>22000</v>
      </c>
      <c r="D31" s="104">
        <v>20296.052510000001</v>
      </c>
      <c r="E31" s="104">
        <v>25000</v>
      </c>
      <c r="F31" s="247">
        <f t="shared" si="0"/>
        <v>113.63636363636364</v>
      </c>
    </row>
    <row r="32" spans="1:6" s="30" customFormat="1">
      <c r="A32" s="59" t="s">
        <v>21</v>
      </c>
      <c r="B32" s="56" t="s">
        <v>22</v>
      </c>
      <c r="C32" s="106">
        <v>41200</v>
      </c>
      <c r="D32" s="106">
        <v>30346.802520000001</v>
      </c>
      <c r="E32" s="106">
        <v>37000</v>
      </c>
      <c r="F32" s="246">
        <f t="shared" si="0"/>
        <v>89.805825242718456</v>
      </c>
    </row>
    <row r="33" spans="1:6" s="30" customFormat="1">
      <c r="A33" s="12" t="s">
        <v>149</v>
      </c>
      <c r="B33" s="56" t="s">
        <v>148</v>
      </c>
      <c r="C33" s="106">
        <v>20200</v>
      </c>
      <c r="D33" s="106">
        <v>12646.216899999999</v>
      </c>
      <c r="E33" s="106">
        <v>15000</v>
      </c>
      <c r="F33" s="246">
        <f t="shared" si="0"/>
        <v>74.257425742574256</v>
      </c>
    </row>
    <row r="34" spans="1:6" s="30" customFormat="1" ht="14.25">
      <c r="A34" s="103" t="s">
        <v>23</v>
      </c>
      <c r="B34" s="107" t="s">
        <v>24</v>
      </c>
      <c r="C34" s="109">
        <f>C35+C64</f>
        <v>3177119.9756700001</v>
      </c>
      <c r="D34" s="109">
        <f>D35+D64</f>
        <v>2504370.6950699999</v>
      </c>
      <c r="E34" s="109">
        <f>E35+E64</f>
        <v>3120975.5167000005</v>
      </c>
      <c r="F34" s="108">
        <f t="shared" si="0"/>
        <v>98.232850525005446</v>
      </c>
    </row>
    <row r="35" spans="1:6" s="30" customFormat="1" ht="14.25">
      <c r="A35" s="103" t="s">
        <v>23</v>
      </c>
      <c r="B35" s="107" t="s">
        <v>24</v>
      </c>
      <c r="C35" s="109">
        <f>C36+C39+C48+C57</f>
        <v>3177119.9756700001</v>
      </c>
      <c r="D35" s="109">
        <f>D36+D39+D48+D57</f>
        <v>2504593.2440399998</v>
      </c>
      <c r="E35" s="109">
        <f>E36+E39+E48+E57</f>
        <v>3121198.0656700004</v>
      </c>
      <c r="F35" s="108">
        <f t="shared" si="0"/>
        <v>98.239855264256846</v>
      </c>
    </row>
    <row r="36" spans="1:6" s="7" customFormat="1" ht="25.5">
      <c r="A36" s="10" t="s">
        <v>519</v>
      </c>
      <c r="B36" s="56" t="s">
        <v>25</v>
      </c>
      <c r="C36" s="106">
        <f>C37+C38</f>
        <v>227744</v>
      </c>
      <c r="D36" s="106">
        <f>D37+D38</f>
        <v>179780</v>
      </c>
      <c r="E36" s="106">
        <f>E37+E38</f>
        <v>227744</v>
      </c>
      <c r="F36" s="246">
        <f t="shared" si="0"/>
        <v>100</v>
      </c>
    </row>
    <row r="37" spans="1:6" s="7" customFormat="1" ht="38.25">
      <c r="A37" s="74" t="s">
        <v>520</v>
      </c>
      <c r="B37" s="98" t="s">
        <v>708</v>
      </c>
      <c r="C37" s="180">
        <v>167744</v>
      </c>
      <c r="D37" s="180">
        <v>139780</v>
      </c>
      <c r="E37" s="180">
        <v>167744</v>
      </c>
      <c r="F37" s="247">
        <f t="shared" si="0"/>
        <v>100</v>
      </c>
    </row>
    <row r="38" spans="1:6" s="7" customFormat="1" ht="25.5">
      <c r="A38" s="74" t="s">
        <v>701</v>
      </c>
      <c r="B38" s="98" t="s">
        <v>702</v>
      </c>
      <c r="C38" s="180">
        <v>60000</v>
      </c>
      <c r="D38" s="180">
        <v>40000</v>
      </c>
      <c r="E38" s="180">
        <v>60000</v>
      </c>
      <c r="F38" s="247">
        <f t="shared" si="0"/>
        <v>100</v>
      </c>
    </row>
    <row r="39" spans="1:6" s="7" customFormat="1" ht="25.5">
      <c r="A39" s="10" t="s">
        <v>521</v>
      </c>
      <c r="B39" s="56" t="s">
        <v>47</v>
      </c>
      <c r="C39" s="181">
        <f t="shared" ref="C39" si="1">SUM(C40:C47)</f>
        <v>478830.74098999996</v>
      </c>
      <c r="D39" s="181">
        <f t="shared" ref="D39:E39" si="2">SUM(D40:D47)</f>
        <v>366390.43504000001</v>
      </c>
      <c r="E39" s="181">
        <f t="shared" si="2"/>
        <v>478830.74098999996</v>
      </c>
      <c r="F39" s="246">
        <f t="shared" si="0"/>
        <v>100</v>
      </c>
    </row>
    <row r="40" spans="1:6" s="245" customFormat="1" ht="76.5">
      <c r="A40" s="207" t="s">
        <v>522</v>
      </c>
      <c r="B40" s="208" t="s">
        <v>741</v>
      </c>
      <c r="C40" s="180">
        <f>151753.8+0.02+150000</f>
        <v>301753.81999999995</v>
      </c>
      <c r="D40" s="180">
        <v>216177.06599999999</v>
      </c>
      <c r="E40" s="180">
        <f>151753.8+0.02+150000</f>
        <v>301753.81999999995</v>
      </c>
      <c r="F40" s="247">
        <f t="shared" si="0"/>
        <v>100</v>
      </c>
    </row>
    <row r="41" spans="1:6" s="245" customFormat="1" ht="102" customHeight="1">
      <c r="A41" s="217" t="s">
        <v>761</v>
      </c>
      <c r="B41" s="208" t="s">
        <v>754</v>
      </c>
      <c r="C41" s="236">
        <v>8362.3067200000005</v>
      </c>
      <c r="D41" s="236">
        <v>0</v>
      </c>
      <c r="E41" s="236">
        <v>8362.3067200000005</v>
      </c>
      <c r="F41" s="247">
        <f t="shared" si="0"/>
        <v>100</v>
      </c>
    </row>
    <row r="42" spans="1:6" s="245" customFormat="1" ht="39" customHeight="1">
      <c r="A42" s="207" t="s">
        <v>721</v>
      </c>
      <c r="B42" s="208" t="s">
        <v>722</v>
      </c>
      <c r="C42" s="180">
        <v>1711.5</v>
      </c>
      <c r="D42" s="180">
        <v>1711.5</v>
      </c>
      <c r="E42" s="180">
        <v>1711.5</v>
      </c>
      <c r="F42" s="247">
        <f t="shared" si="0"/>
        <v>100</v>
      </c>
    </row>
    <row r="43" spans="1:6" s="245" customFormat="1" ht="63.75" customHeight="1">
      <c r="A43" s="207" t="s">
        <v>715</v>
      </c>
      <c r="B43" s="208" t="s">
        <v>716</v>
      </c>
      <c r="C43" s="180">
        <v>351.07499999999999</v>
      </c>
      <c r="D43" s="180">
        <v>351.07499999999999</v>
      </c>
      <c r="E43" s="180">
        <v>351.07499999999999</v>
      </c>
      <c r="F43" s="247">
        <f t="shared" si="0"/>
        <v>100</v>
      </c>
    </row>
    <row r="44" spans="1:6" s="7" customFormat="1" ht="27.75" customHeight="1">
      <c r="A44" s="74" t="s">
        <v>710</v>
      </c>
      <c r="B44" s="98" t="s">
        <v>711</v>
      </c>
      <c r="C44" s="180">
        <v>30664.167000000001</v>
      </c>
      <c r="D44" s="180">
        <v>30664.166990000002</v>
      </c>
      <c r="E44" s="180">
        <v>30664.167000000001</v>
      </c>
      <c r="F44" s="247">
        <f t="shared" si="0"/>
        <v>100</v>
      </c>
    </row>
    <row r="45" spans="1:6" s="7" customFormat="1" ht="25.5">
      <c r="A45" s="74" t="s">
        <v>728</v>
      </c>
      <c r="B45" s="98" t="s">
        <v>729</v>
      </c>
      <c r="C45" s="180">
        <v>69.892470000000003</v>
      </c>
      <c r="D45" s="180">
        <v>69.892470000000003</v>
      </c>
      <c r="E45" s="180">
        <v>69.892470000000003</v>
      </c>
      <c r="F45" s="247">
        <f t="shared" si="0"/>
        <v>100</v>
      </c>
    </row>
    <row r="46" spans="1:6" s="7" customFormat="1" ht="24" customHeight="1">
      <c r="A46" s="74" t="s">
        <v>735</v>
      </c>
      <c r="B46" s="98" t="s">
        <v>736</v>
      </c>
      <c r="C46" s="180">
        <v>85917.979800000001</v>
      </c>
      <c r="D46" s="180">
        <v>67416.734580000004</v>
      </c>
      <c r="E46" s="180">
        <v>85917.979800000001</v>
      </c>
      <c r="F46" s="247">
        <f t="shared" si="0"/>
        <v>100</v>
      </c>
    </row>
    <row r="47" spans="1:6" s="7" customFormat="1" ht="38.25">
      <c r="A47" s="74" t="s">
        <v>774</v>
      </c>
      <c r="B47" s="98" t="s">
        <v>775</v>
      </c>
      <c r="C47" s="180">
        <v>50000</v>
      </c>
      <c r="D47" s="180">
        <v>50000</v>
      </c>
      <c r="E47" s="180">
        <v>50000</v>
      </c>
      <c r="F47" s="247">
        <f t="shared" si="0"/>
        <v>100</v>
      </c>
    </row>
    <row r="48" spans="1:6" s="7" customFormat="1" ht="25.5">
      <c r="A48" s="10" t="s">
        <v>523</v>
      </c>
      <c r="B48" s="56" t="s">
        <v>31</v>
      </c>
      <c r="C48" s="181">
        <f>C49+C55+C56</f>
        <v>1838308.43</v>
      </c>
      <c r="D48" s="181">
        <f>D49+D55+D56</f>
        <v>1563298.446</v>
      </c>
      <c r="E48" s="181">
        <f>E49+E55+E56</f>
        <v>1782386.5200000003</v>
      </c>
      <c r="F48" s="246">
        <f t="shared" si="0"/>
        <v>96.95796912599701</v>
      </c>
    </row>
    <row r="49" spans="1:6" s="7" customFormat="1" ht="40.5">
      <c r="A49" s="237" t="s">
        <v>524</v>
      </c>
      <c r="B49" s="238" t="s">
        <v>134</v>
      </c>
      <c r="C49" s="182">
        <f>C50+C51+C52+C53+C54</f>
        <v>1819118.93</v>
      </c>
      <c r="D49" s="182">
        <f>D50+D51+D52+D53+D54</f>
        <v>1551966.2760000001</v>
      </c>
      <c r="E49" s="182">
        <f>E50+E51+E52+E53+E54</f>
        <v>1765548.4100000001</v>
      </c>
      <c r="F49" s="248">
        <f t="shared" si="0"/>
        <v>97.055139215114437</v>
      </c>
    </row>
    <row r="50" spans="1:6" s="7" customFormat="1" ht="63.75">
      <c r="A50" s="74" t="s">
        <v>525</v>
      </c>
      <c r="B50" s="98" t="s">
        <v>181</v>
      </c>
      <c r="C50" s="180">
        <f>757994+436</f>
        <v>758430</v>
      </c>
      <c r="D50" s="180">
        <v>618292.14899999998</v>
      </c>
      <c r="E50" s="180">
        <v>718311.3</v>
      </c>
      <c r="F50" s="247">
        <f t="shared" si="0"/>
        <v>94.710296269926047</v>
      </c>
    </row>
    <row r="51" spans="1:6" s="7" customFormat="1" ht="89.25">
      <c r="A51" s="74" t="s">
        <v>526</v>
      </c>
      <c r="B51" s="98" t="s">
        <v>533</v>
      </c>
      <c r="C51" s="180">
        <f>895221.6+121377.1</f>
        <v>1016598.7</v>
      </c>
      <c r="D51" s="180">
        <v>897416.53399999999</v>
      </c>
      <c r="E51" s="180">
        <v>1003146.88</v>
      </c>
      <c r="F51" s="247">
        <f t="shared" si="0"/>
        <v>98.6767817035375</v>
      </c>
    </row>
    <row r="52" spans="1:6" s="7" customFormat="1" ht="38.25">
      <c r="A52" s="74" t="s">
        <v>527</v>
      </c>
      <c r="B52" s="98" t="s">
        <v>182</v>
      </c>
      <c r="C52" s="180">
        <f>9588.1-0.02-6060.85</f>
        <v>3527.2299999999996</v>
      </c>
      <c r="D52" s="180">
        <v>0</v>
      </c>
      <c r="E52" s="180">
        <f>9588.1-0.02-6060.85</f>
        <v>3527.2299999999996</v>
      </c>
      <c r="F52" s="247">
        <f t="shared" si="0"/>
        <v>100</v>
      </c>
    </row>
    <row r="53" spans="1:6" s="7" customFormat="1" ht="51">
      <c r="A53" s="74" t="s">
        <v>528</v>
      </c>
      <c r="B53" s="98" t="s">
        <v>183</v>
      </c>
      <c r="C53" s="180">
        <v>38369</v>
      </c>
      <c r="D53" s="180">
        <v>34427.593000000001</v>
      </c>
      <c r="E53" s="180">
        <v>38369</v>
      </c>
      <c r="F53" s="247">
        <f t="shared" si="0"/>
        <v>100</v>
      </c>
    </row>
    <row r="54" spans="1:6" s="7" customFormat="1" ht="51">
      <c r="A54" s="74" t="s">
        <v>529</v>
      </c>
      <c r="B54" s="98" t="s">
        <v>62</v>
      </c>
      <c r="C54" s="180">
        <v>2194</v>
      </c>
      <c r="D54" s="180">
        <v>1830</v>
      </c>
      <c r="E54" s="180">
        <v>2194</v>
      </c>
      <c r="F54" s="247">
        <f t="shared" si="0"/>
        <v>100</v>
      </c>
    </row>
    <row r="55" spans="1:6" s="7" customFormat="1" ht="40.5">
      <c r="A55" s="237" t="s">
        <v>530</v>
      </c>
      <c r="B55" s="238" t="s">
        <v>534</v>
      </c>
      <c r="C55" s="182">
        <v>19000</v>
      </c>
      <c r="D55" s="182">
        <v>11332.17</v>
      </c>
      <c r="E55" s="182">
        <v>16648.61</v>
      </c>
      <c r="F55" s="248">
        <f t="shared" si="0"/>
        <v>87.624263157894745</v>
      </c>
    </row>
    <row r="56" spans="1:6" s="7" customFormat="1" ht="54">
      <c r="A56" s="237" t="s">
        <v>531</v>
      </c>
      <c r="B56" s="238" t="s">
        <v>286</v>
      </c>
      <c r="C56" s="182">
        <v>189.5</v>
      </c>
      <c r="D56" s="182">
        <v>0</v>
      </c>
      <c r="E56" s="182">
        <v>189.5</v>
      </c>
      <c r="F56" s="248">
        <f t="shared" si="0"/>
        <v>100</v>
      </c>
    </row>
    <row r="57" spans="1:6" s="7" customFormat="1">
      <c r="A57" s="10" t="s">
        <v>768</v>
      </c>
      <c r="B57" s="239" t="s">
        <v>535</v>
      </c>
      <c r="C57" s="167">
        <f>SUM(C58:C63)</f>
        <v>632236.80468000006</v>
      </c>
      <c r="D57" s="167">
        <f>SUM(D58:D63)</f>
        <v>395124.36300000007</v>
      </c>
      <c r="E57" s="167">
        <f>SUM(E58:E63)</f>
        <v>632236.80468000006</v>
      </c>
      <c r="F57" s="246">
        <f t="shared" si="0"/>
        <v>100</v>
      </c>
    </row>
    <row r="58" spans="1:6" s="7" customFormat="1" ht="51">
      <c r="A58" s="207" t="s">
        <v>767</v>
      </c>
      <c r="B58" s="208" t="s">
        <v>769</v>
      </c>
      <c r="C58" s="240">
        <v>32810.400000000001</v>
      </c>
      <c r="D58" s="240">
        <v>15956.704</v>
      </c>
      <c r="E58" s="240">
        <v>32810.400000000001</v>
      </c>
      <c r="F58" s="247">
        <f t="shared" si="0"/>
        <v>100</v>
      </c>
    </row>
    <row r="59" spans="1:6" s="7" customFormat="1" ht="51">
      <c r="A59" s="74" t="s">
        <v>536</v>
      </c>
      <c r="B59" s="98" t="s">
        <v>537</v>
      </c>
      <c r="C59" s="180">
        <v>500243</v>
      </c>
      <c r="D59" s="180">
        <v>345242.41100000002</v>
      </c>
      <c r="E59" s="180">
        <v>500243</v>
      </c>
      <c r="F59" s="247">
        <f t="shared" si="0"/>
        <v>100</v>
      </c>
    </row>
    <row r="60" spans="1:6" s="245" customFormat="1" ht="40.5" customHeight="1">
      <c r="A60" s="207" t="s">
        <v>790</v>
      </c>
      <c r="B60" s="208" t="s">
        <v>791</v>
      </c>
      <c r="C60" s="180">
        <f>50000-50000</f>
        <v>0</v>
      </c>
      <c r="D60" s="180">
        <f>50000-50000</f>
        <v>0</v>
      </c>
      <c r="E60" s="180">
        <f>50000-50000</f>
        <v>0</v>
      </c>
      <c r="F60" s="247"/>
    </row>
    <row r="61" spans="1:6" s="245" customFormat="1" ht="38.25">
      <c r="A61" s="207" t="s">
        <v>744</v>
      </c>
      <c r="B61" s="208" t="s">
        <v>745</v>
      </c>
      <c r="C61" s="180">
        <v>836.02099999999996</v>
      </c>
      <c r="D61" s="180">
        <v>836.02099999999996</v>
      </c>
      <c r="E61" s="180">
        <v>836.02099999999996</v>
      </c>
      <c r="F61" s="247">
        <f t="shared" si="0"/>
        <v>100</v>
      </c>
    </row>
    <row r="62" spans="1:6" s="245" customFormat="1" ht="51">
      <c r="A62" s="207" t="s">
        <v>757</v>
      </c>
      <c r="B62" s="208" t="s">
        <v>758</v>
      </c>
      <c r="C62" s="180">
        <v>27113.54</v>
      </c>
      <c r="D62" s="180">
        <v>17007.334999999999</v>
      </c>
      <c r="E62" s="180">
        <v>27113.54</v>
      </c>
      <c r="F62" s="247">
        <f t="shared" si="0"/>
        <v>100</v>
      </c>
    </row>
    <row r="63" spans="1:6" s="245" customFormat="1" ht="63.75">
      <c r="A63" s="74" t="s">
        <v>765</v>
      </c>
      <c r="B63" s="98" t="s">
        <v>766</v>
      </c>
      <c r="C63" s="180">
        <v>71233.843680000005</v>
      </c>
      <c r="D63" s="180">
        <v>16081.892</v>
      </c>
      <c r="E63" s="180">
        <v>71233.843680000005</v>
      </c>
      <c r="F63" s="247">
        <f t="shared" si="0"/>
        <v>100</v>
      </c>
    </row>
    <row r="64" spans="1:6" s="245" customFormat="1">
      <c r="A64" s="12" t="s">
        <v>792</v>
      </c>
      <c r="B64" s="56" t="s">
        <v>793</v>
      </c>
      <c r="C64" s="241"/>
      <c r="D64" s="241">
        <f>D65</f>
        <v>-222.54897</v>
      </c>
      <c r="E64" s="241">
        <f>E65</f>
        <v>-222.54897</v>
      </c>
      <c r="F64" s="247"/>
    </row>
    <row r="65" spans="1:6" s="245" customFormat="1" ht="38.25">
      <c r="A65" s="14" t="s">
        <v>794</v>
      </c>
      <c r="B65" s="242" t="s">
        <v>795</v>
      </c>
      <c r="C65" s="243"/>
      <c r="D65" s="243">
        <v>-222.54897</v>
      </c>
      <c r="E65" s="243">
        <v>-222.54897</v>
      </c>
      <c r="F65" s="247"/>
    </row>
    <row r="66" spans="1:6" ht="14.25">
      <c r="A66" s="105" t="s">
        <v>106</v>
      </c>
      <c r="B66" s="107" t="s">
        <v>107</v>
      </c>
      <c r="C66" s="244">
        <f>C6+C35</f>
        <v>5573129.9756700005</v>
      </c>
      <c r="D66" s="244">
        <f>D6+D34</f>
        <v>4329207.8083299994</v>
      </c>
      <c r="E66" s="244">
        <f>E6+E34</f>
        <v>5419034.1599000003</v>
      </c>
      <c r="F66" s="108">
        <f t="shared" si="0"/>
        <v>97.235022035324505</v>
      </c>
    </row>
    <row r="67" spans="1:6" ht="15.75" customHeight="1"/>
    <row r="68" spans="1:6" ht="17.25" customHeight="1">
      <c r="A68" s="258" t="s">
        <v>796</v>
      </c>
      <c r="B68" s="258"/>
      <c r="C68" s="258"/>
      <c r="D68" s="231"/>
      <c r="E68" s="231"/>
      <c r="F68" s="231"/>
    </row>
    <row r="85" spans="2:2">
      <c r="B85" t="s">
        <v>359</v>
      </c>
    </row>
  </sheetData>
  <mergeCells count="5">
    <mergeCell ref="A68:C68"/>
    <mergeCell ref="A2:F2"/>
    <mergeCell ref="A3:F3"/>
    <mergeCell ref="A1:C1"/>
    <mergeCell ref="A4:F4"/>
  </mergeCells>
  <phoneticPr fontId="2" type="noConversion"/>
  <pageMargins left="0.59055118110236227" right="0.39370078740157483" top="0.39370078740157483" bottom="0.47244094488188981" header="0" footer="0"/>
  <pageSetup paperSize="9" scale="74" orientation="portrait" r:id="rId1"/>
  <headerFooter alignWithMargins="0">
    <oddFooter>&amp;C&amp;P</oddFooter>
  </headerFooter>
  <rowBreaks count="2" manualBreakCount="2">
    <brk id="39" max="5" man="1"/>
    <brk id="74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53"/>
  </sheetPr>
  <dimension ref="A1:AF1005"/>
  <sheetViews>
    <sheetView view="pageBreakPreview" zoomScale="130" zoomScaleNormal="130" zoomScaleSheetLayoutView="130" workbookViewId="0">
      <selection activeCell="B19" sqref="B19"/>
    </sheetView>
  </sheetViews>
  <sheetFormatPr defaultRowHeight="12.75"/>
  <cols>
    <col min="1" max="1" width="62.28515625" style="1" customWidth="1"/>
    <col min="2" max="2" width="8.28515625" style="20" customWidth="1"/>
    <col min="3" max="3" width="7.7109375" style="20" customWidth="1"/>
    <col min="4" max="4" width="7" style="20" customWidth="1"/>
    <col min="5" max="5" width="13.42578125" style="20" customWidth="1"/>
    <col min="6" max="6" width="9" style="20" customWidth="1"/>
    <col min="7" max="8" width="14.140625" style="30" hidden="1" customWidth="1"/>
    <col min="9" max="9" width="15.7109375" style="30" customWidth="1"/>
    <col min="10" max="10" width="14.28515625" style="30" customWidth="1"/>
    <col min="11" max="11" width="13.42578125" style="30" customWidth="1"/>
    <col min="12" max="32" width="9.140625" style="30"/>
  </cols>
  <sheetData>
    <row r="1" spans="1:15" ht="15.75">
      <c r="A1" s="262"/>
      <c r="B1" s="262"/>
      <c r="C1" s="262"/>
      <c r="D1" s="262"/>
      <c r="E1" s="262"/>
      <c r="F1" s="262"/>
    </row>
    <row r="2" spans="1:15" ht="15.75">
      <c r="A2" s="263" t="s">
        <v>785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5" ht="15.75">
      <c r="A3" s="50"/>
      <c r="B3" s="50"/>
      <c r="C3" s="50"/>
      <c r="D3" s="50"/>
      <c r="E3" s="50"/>
      <c r="F3" s="50"/>
    </row>
    <row r="4" spans="1:15">
      <c r="A4" s="264" t="s">
        <v>470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5" ht="38.25">
      <c r="A5" s="2" t="s">
        <v>110</v>
      </c>
      <c r="B5" s="2" t="s">
        <v>402</v>
      </c>
      <c r="C5" s="2" t="s">
        <v>33</v>
      </c>
      <c r="D5" s="2" t="s">
        <v>32</v>
      </c>
      <c r="E5" s="2" t="s">
        <v>111</v>
      </c>
      <c r="F5" s="2" t="s">
        <v>403</v>
      </c>
      <c r="G5" s="57" t="s">
        <v>160</v>
      </c>
      <c r="H5" s="57" t="s">
        <v>314</v>
      </c>
      <c r="I5" s="57" t="s">
        <v>778</v>
      </c>
      <c r="J5" s="224" t="s">
        <v>779</v>
      </c>
      <c r="K5" s="224" t="s">
        <v>783</v>
      </c>
      <c r="L5" s="3" t="s">
        <v>782</v>
      </c>
    </row>
    <row r="6" spans="1:15" ht="15.75">
      <c r="A6" s="26" t="s">
        <v>113</v>
      </c>
      <c r="B6" s="19"/>
      <c r="C6" s="19"/>
      <c r="D6" s="19"/>
      <c r="E6" s="19"/>
      <c r="F6" s="19"/>
      <c r="G6" s="76" t="e">
        <f>G7+G188+G225+G264+G296+G360+G434+G514+G605+G714+G740+G766+G878+G904</f>
        <v>#REF!</v>
      </c>
      <c r="H6" s="93" t="e">
        <f>I6-G6</f>
        <v>#REF!</v>
      </c>
      <c r="I6" s="76">
        <f>I7+I188+I225+I264+I296+I360+I434+I514+I605+I714+I740+I766+I878+I904</f>
        <v>5858489.7626499999</v>
      </c>
      <c r="J6" s="76">
        <f t="shared" ref="J6" si="0">J7+J188+J225+J264+J296+J360+J434+J514+J605+J714+J740+J766+J878+J904</f>
        <v>4136150.7114699995</v>
      </c>
      <c r="K6" s="76">
        <f>K7+K188+K225+K264+K296+K360+K434+K514+K605+K714+K740+K766+K878+K904</f>
        <v>5546058.9876500005</v>
      </c>
      <c r="L6" s="76">
        <f t="shared" ref="L6:L22" si="1">K6/I6*100</f>
        <v>94.667042400724853</v>
      </c>
      <c r="O6" s="234"/>
    </row>
    <row r="7" spans="1:15" s="184" customFormat="1" ht="18" customHeight="1">
      <c r="A7" s="113" t="s">
        <v>467</v>
      </c>
      <c r="B7" s="116">
        <v>598</v>
      </c>
      <c r="C7" s="116"/>
      <c r="D7" s="116"/>
      <c r="E7" s="116"/>
      <c r="F7" s="116"/>
      <c r="G7" s="115" t="e">
        <f>G8+G102+G117+G147+G170</f>
        <v>#REF!</v>
      </c>
      <c r="H7" s="162" t="e">
        <f>I7-G7</f>
        <v>#REF!</v>
      </c>
      <c r="I7" s="118">
        <f>I8+I102+I117+I147+I170</f>
        <v>298412.08799999999</v>
      </c>
      <c r="J7" s="118">
        <f t="shared" ref="J7" si="2">J8+J102+J117+J147+J170</f>
        <v>188852.27000000002</v>
      </c>
      <c r="K7" s="118">
        <f>K8+K102+K117+K147+K170</f>
        <v>281495.29200000002</v>
      </c>
      <c r="L7" s="118">
        <f t="shared" si="1"/>
        <v>94.331062084857649</v>
      </c>
    </row>
    <row r="8" spans="1:15" s="184" customFormat="1">
      <c r="A8" s="110" t="s">
        <v>114</v>
      </c>
      <c r="B8" s="111">
        <v>598</v>
      </c>
      <c r="C8" s="111" t="s">
        <v>76</v>
      </c>
      <c r="D8" s="111" t="s">
        <v>77</v>
      </c>
      <c r="E8" s="111"/>
      <c r="F8" s="111"/>
      <c r="G8" s="112">
        <f>G9+G15+G26+G32</f>
        <v>191371.9</v>
      </c>
      <c r="H8" s="134">
        <f>I8-G8</f>
        <v>12300</v>
      </c>
      <c r="I8" s="112">
        <f>I9+I15+I26+I32</f>
        <v>203671.9</v>
      </c>
      <c r="J8" s="112">
        <f t="shared" ref="J8" si="3">J9+J15+J26+J32</f>
        <v>131611.64300000001</v>
      </c>
      <c r="K8" s="112">
        <f>K9+K15+K26+K32</f>
        <v>190811.9</v>
      </c>
      <c r="L8" s="112">
        <f t="shared" si="1"/>
        <v>93.68592329133277</v>
      </c>
    </row>
    <row r="9" spans="1:15" s="184" customFormat="1">
      <c r="A9" s="145" t="s">
        <v>74</v>
      </c>
      <c r="B9" s="125" t="s">
        <v>404</v>
      </c>
      <c r="C9" s="125" t="s">
        <v>76</v>
      </c>
      <c r="D9" s="125" t="s">
        <v>78</v>
      </c>
      <c r="E9" s="125" t="s">
        <v>211</v>
      </c>
      <c r="F9" s="125"/>
      <c r="G9" s="126">
        <f>G10</f>
        <v>1870</v>
      </c>
      <c r="H9" s="134">
        <f t="shared" ref="H9:H72" si="4">I9-G9</f>
        <v>0</v>
      </c>
      <c r="I9" s="126">
        <f>I10</f>
        <v>1870</v>
      </c>
      <c r="J9" s="126">
        <f t="shared" ref="J9:J13" si="5">J10</f>
        <v>1359.04</v>
      </c>
      <c r="K9" s="126">
        <f>K10</f>
        <v>1870</v>
      </c>
      <c r="L9" s="126">
        <f t="shared" si="1"/>
        <v>100</v>
      </c>
    </row>
    <row r="10" spans="1:15" s="184" customFormat="1">
      <c r="A10" s="127" t="s">
        <v>304</v>
      </c>
      <c r="B10" s="111" t="s">
        <v>404</v>
      </c>
      <c r="C10" s="111" t="s">
        <v>76</v>
      </c>
      <c r="D10" s="111" t="s">
        <v>78</v>
      </c>
      <c r="E10" s="111" t="s">
        <v>212</v>
      </c>
      <c r="F10" s="111"/>
      <c r="G10" s="112">
        <f>G11</f>
        <v>1870</v>
      </c>
      <c r="H10" s="134">
        <f t="shared" si="4"/>
        <v>0</v>
      </c>
      <c r="I10" s="112">
        <f>I11</f>
        <v>1870</v>
      </c>
      <c r="J10" s="112">
        <f t="shared" si="5"/>
        <v>1359.04</v>
      </c>
      <c r="K10" s="112">
        <f>K11</f>
        <v>1870</v>
      </c>
      <c r="L10" s="112">
        <f t="shared" si="1"/>
        <v>100</v>
      </c>
    </row>
    <row r="11" spans="1:15" s="184" customFormat="1" ht="24">
      <c r="A11" s="124" t="s">
        <v>313</v>
      </c>
      <c r="B11" s="125">
        <v>598</v>
      </c>
      <c r="C11" s="125" t="s">
        <v>76</v>
      </c>
      <c r="D11" s="125" t="s">
        <v>78</v>
      </c>
      <c r="E11" s="125" t="s">
        <v>212</v>
      </c>
      <c r="F11" s="139"/>
      <c r="G11" s="126">
        <f>G12</f>
        <v>1870</v>
      </c>
      <c r="H11" s="134">
        <f t="shared" si="4"/>
        <v>0</v>
      </c>
      <c r="I11" s="126">
        <f>I12</f>
        <v>1870</v>
      </c>
      <c r="J11" s="126">
        <f t="shared" si="5"/>
        <v>1359.04</v>
      </c>
      <c r="K11" s="126">
        <f>K12</f>
        <v>1870</v>
      </c>
      <c r="L11" s="126">
        <f t="shared" si="1"/>
        <v>100</v>
      </c>
    </row>
    <row r="12" spans="1:15" s="184" customFormat="1" ht="24">
      <c r="A12" s="127" t="s">
        <v>303</v>
      </c>
      <c r="B12" s="111">
        <v>598</v>
      </c>
      <c r="C12" s="111" t="s">
        <v>76</v>
      </c>
      <c r="D12" s="111" t="s">
        <v>78</v>
      </c>
      <c r="E12" s="111" t="s">
        <v>213</v>
      </c>
      <c r="F12" s="111"/>
      <c r="G12" s="112">
        <f>G13</f>
        <v>1870</v>
      </c>
      <c r="H12" s="134">
        <f t="shared" si="4"/>
        <v>0</v>
      </c>
      <c r="I12" s="112">
        <f>I13</f>
        <v>1870</v>
      </c>
      <c r="J12" s="112">
        <f t="shared" si="5"/>
        <v>1359.04</v>
      </c>
      <c r="K12" s="112">
        <f>K13</f>
        <v>1870</v>
      </c>
      <c r="L12" s="112">
        <f t="shared" si="1"/>
        <v>100</v>
      </c>
    </row>
    <row r="13" spans="1:15" s="184" customFormat="1" ht="36">
      <c r="A13" s="119" t="s">
        <v>79</v>
      </c>
      <c r="B13" s="120" t="s">
        <v>404</v>
      </c>
      <c r="C13" s="120" t="s">
        <v>76</v>
      </c>
      <c r="D13" s="120" t="s">
        <v>78</v>
      </c>
      <c r="E13" s="120" t="s">
        <v>213</v>
      </c>
      <c r="F13" s="120" t="s">
        <v>80</v>
      </c>
      <c r="G13" s="121">
        <f>G14</f>
        <v>1870</v>
      </c>
      <c r="H13" s="134">
        <f t="shared" si="4"/>
        <v>0</v>
      </c>
      <c r="I13" s="121">
        <f>I14</f>
        <v>1870</v>
      </c>
      <c r="J13" s="121">
        <f t="shared" si="5"/>
        <v>1359.04</v>
      </c>
      <c r="K13" s="121">
        <f>K14</f>
        <v>1870</v>
      </c>
      <c r="L13" s="121">
        <f t="shared" si="1"/>
        <v>100</v>
      </c>
    </row>
    <row r="14" spans="1:15" s="184" customFormat="1">
      <c r="A14" s="119" t="s">
        <v>81</v>
      </c>
      <c r="B14" s="120" t="s">
        <v>404</v>
      </c>
      <c r="C14" s="120" t="s">
        <v>76</v>
      </c>
      <c r="D14" s="120" t="s">
        <v>78</v>
      </c>
      <c r="E14" s="120" t="s">
        <v>213</v>
      </c>
      <c r="F14" s="120" t="s">
        <v>82</v>
      </c>
      <c r="G14" s="121">
        <v>1870</v>
      </c>
      <c r="H14" s="134">
        <f t="shared" si="4"/>
        <v>0</v>
      </c>
      <c r="I14" s="121">
        <v>1870</v>
      </c>
      <c r="J14" s="121">
        <v>1359.04</v>
      </c>
      <c r="K14" s="121">
        <v>1870</v>
      </c>
      <c r="L14" s="121">
        <f t="shared" si="1"/>
        <v>100</v>
      </c>
    </row>
    <row r="15" spans="1:15" s="184" customFormat="1" ht="36">
      <c r="A15" s="110" t="s">
        <v>312</v>
      </c>
      <c r="B15" s="111">
        <v>598</v>
      </c>
      <c r="C15" s="111" t="s">
        <v>76</v>
      </c>
      <c r="D15" s="111" t="s">
        <v>78</v>
      </c>
      <c r="E15" s="111"/>
      <c r="F15" s="111"/>
      <c r="G15" s="112">
        <f>G16</f>
        <v>86342</v>
      </c>
      <c r="H15" s="134">
        <f t="shared" si="4"/>
        <v>500</v>
      </c>
      <c r="I15" s="112">
        <f>I16</f>
        <v>86842</v>
      </c>
      <c r="J15" s="112">
        <f t="shared" ref="J15:J16" si="6">J16</f>
        <v>61370.97</v>
      </c>
      <c r="K15" s="112">
        <f>K16</f>
        <v>84842</v>
      </c>
      <c r="L15" s="112">
        <f t="shared" si="1"/>
        <v>97.696966905414428</v>
      </c>
    </row>
    <row r="16" spans="1:15" s="184" customFormat="1">
      <c r="A16" s="145" t="s">
        <v>74</v>
      </c>
      <c r="B16" s="125" t="s">
        <v>404</v>
      </c>
      <c r="C16" s="125" t="s">
        <v>76</v>
      </c>
      <c r="D16" s="125" t="s">
        <v>78</v>
      </c>
      <c r="E16" s="125" t="s">
        <v>214</v>
      </c>
      <c r="F16" s="125"/>
      <c r="G16" s="126">
        <f>G17</f>
        <v>86342</v>
      </c>
      <c r="H16" s="134">
        <f t="shared" si="4"/>
        <v>500</v>
      </c>
      <c r="I16" s="126">
        <f>I17</f>
        <v>86842</v>
      </c>
      <c r="J16" s="126">
        <f t="shared" si="6"/>
        <v>61370.97</v>
      </c>
      <c r="K16" s="126">
        <f>K17</f>
        <v>84842</v>
      </c>
      <c r="L16" s="126">
        <f t="shared" si="1"/>
        <v>97.696966905414428</v>
      </c>
    </row>
    <row r="17" spans="1:12" s="184" customFormat="1">
      <c r="A17" s="127" t="s">
        <v>304</v>
      </c>
      <c r="B17" s="111" t="s">
        <v>404</v>
      </c>
      <c r="C17" s="111" t="s">
        <v>76</v>
      </c>
      <c r="D17" s="111" t="s">
        <v>78</v>
      </c>
      <c r="E17" s="111" t="s">
        <v>215</v>
      </c>
      <c r="F17" s="125"/>
      <c r="G17" s="112">
        <f>G18+G21</f>
        <v>86342</v>
      </c>
      <c r="H17" s="134">
        <f t="shared" si="4"/>
        <v>500</v>
      </c>
      <c r="I17" s="112">
        <f>I18+I21</f>
        <v>86842</v>
      </c>
      <c r="J17" s="112">
        <f t="shared" ref="J17" si="7">J18+J21</f>
        <v>61370.97</v>
      </c>
      <c r="K17" s="112">
        <f>K18+K21</f>
        <v>84842</v>
      </c>
      <c r="L17" s="112">
        <f t="shared" si="1"/>
        <v>97.696966905414428</v>
      </c>
    </row>
    <row r="18" spans="1:12" s="184" customFormat="1" ht="24">
      <c r="A18" s="127" t="s">
        <v>26</v>
      </c>
      <c r="B18" s="111" t="s">
        <v>404</v>
      </c>
      <c r="C18" s="111" t="s">
        <v>76</v>
      </c>
      <c r="D18" s="111" t="s">
        <v>78</v>
      </c>
      <c r="E18" s="111" t="s">
        <v>216</v>
      </c>
      <c r="F18" s="111"/>
      <c r="G18" s="112">
        <f>G19</f>
        <v>67890</v>
      </c>
      <c r="H18" s="134">
        <f t="shared" si="4"/>
        <v>0</v>
      </c>
      <c r="I18" s="112">
        <f>I19</f>
        <v>67890</v>
      </c>
      <c r="J18" s="112">
        <f t="shared" ref="J18:J19" si="8">J19</f>
        <v>52725.23</v>
      </c>
      <c r="K18" s="112">
        <f>K19</f>
        <v>65890</v>
      </c>
      <c r="L18" s="112">
        <f t="shared" si="1"/>
        <v>97.054058035056713</v>
      </c>
    </row>
    <row r="19" spans="1:12" s="184" customFormat="1" ht="36">
      <c r="A19" s="119" t="s">
        <v>79</v>
      </c>
      <c r="B19" s="120" t="s">
        <v>404</v>
      </c>
      <c r="C19" s="120" t="s">
        <v>76</v>
      </c>
      <c r="D19" s="120" t="s">
        <v>78</v>
      </c>
      <c r="E19" s="120" t="s">
        <v>216</v>
      </c>
      <c r="F19" s="120" t="s">
        <v>80</v>
      </c>
      <c r="G19" s="121">
        <f>G20</f>
        <v>67890</v>
      </c>
      <c r="H19" s="134">
        <f t="shared" si="4"/>
        <v>0</v>
      </c>
      <c r="I19" s="121">
        <f>I20</f>
        <v>67890</v>
      </c>
      <c r="J19" s="121">
        <f t="shared" si="8"/>
        <v>52725.23</v>
      </c>
      <c r="K19" s="121">
        <f>K20</f>
        <v>65890</v>
      </c>
      <c r="L19" s="121">
        <f t="shared" si="1"/>
        <v>97.054058035056713</v>
      </c>
    </row>
    <row r="20" spans="1:12" s="184" customFormat="1">
      <c r="A20" s="119" t="s">
        <v>81</v>
      </c>
      <c r="B20" s="120" t="s">
        <v>404</v>
      </c>
      <c r="C20" s="120" t="s">
        <v>76</v>
      </c>
      <c r="D20" s="120" t="s">
        <v>78</v>
      </c>
      <c r="E20" s="120" t="s">
        <v>216</v>
      </c>
      <c r="F20" s="120" t="s">
        <v>82</v>
      </c>
      <c r="G20" s="121">
        <f>51220+200+15430+100+940</f>
        <v>67890</v>
      </c>
      <c r="H20" s="134">
        <f t="shared" si="4"/>
        <v>0</v>
      </c>
      <c r="I20" s="121">
        <f>51220+200+15430+100+940</f>
        <v>67890</v>
      </c>
      <c r="J20" s="121">
        <v>52725.23</v>
      </c>
      <c r="K20" s="121">
        <f>51220+200+15430+100+940-2000</f>
        <v>65890</v>
      </c>
      <c r="L20" s="121">
        <f t="shared" si="1"/>
        <v>97.054058035056713</v>
      </c>
    </row>
    <row r="21" spans="1:12" s="184" customFormat="1">
      <c r="A21" s="110" t="s">
        <v>83</v>
      </c>
      <c r="B21" s="111" t="s">
        <v>404</v>
      </c>
      <c r="C21" s="111" t="s">
        <v>76</v>
      </c>
      <c r="D21" s="111" t="s">
        <v>78</v>
      </c>
      <c r="E21" s="111" t="s">
        <v>217</v>
      </c>
      <c r="F21" s="111"/>
      <c r="G21" s="112">
        <f>G22+G24</f>
        <v>18452</v>
      </c>
      <c r="H21" s="134">
        <f t="shared" si="4"/>
        <v>500</v>
      </c>
      <c r="I21" s="112">
        <f>I22+I24</f>
        <v>18952</v>
      </c>
      <c r="J21" s="112">
        <f t="shared" ref="J21" si="9">J22+J24</f>
        <v>8645.74</v>
      </c>
      <c r="K21" s="112">
        <f>K22+K24</f>
        <v>18952</v>
      </c>
      <c r="L21" s="112">
        <f t="shared" si="1"/>
        <v>100</v>
      </c>
    </row>
    <row r="22" spans="1:12" s="184" customFormat="1">
      <c r="A22" s="119" t="s">
        <v>301</v>
      </c>
      <c r="B22" s="120" t="s">
        <v>404</v>
      </c>
      <c r="C22" s="120" t="s">
        <v>76</v>
      </c>
      <c r="D22" s="120" t="s">
        <v>78</v>
      </c>
      <c r="E22" s="120" t="s">
        <v>217</v>
      </c>
      <c r="F22" s="120" t="s">
        <v>84</v>
      </c>
      <c r="G22" s="121">
        <f>G23</f>
        <v>17812</v>
      </c>
      <c r="H22" s="134">
        <f t="shared" si="4"/>
        <v>0</v>
      </c>
      <c r="I22" s="121">
        <f>I23</f>
        <v>17812</v>
      </c>
      <c r="J22" s="121">
        <f t="shared" ref="J22" si="10">J23</f>
        <v>7911.64</v>
      </c>
      <c r="K22" s="121">
        <f>K23</f>
        <v>17812</v>
      </c>
      <c r="L22" s="121">
        <f t="shared" si="1"/>
        <v>100</v>
      </c>
    </row>
    <row r="23" spans="1:12" s="184" customFormat="1" ht="24">
      <c r="A23" s="119" t="s">
        <v>85</v>
      </c>
      <c r="B23" s="120" t="s">
        <v>404</v>
      </c>
      <c r="C23" s="120" t="s">
        <v>76</v>
      </c>
      <c r="D23" s="120" t="s">
        <v>78</v>
      </c>
      <c r="E23" s="120" t="s">
        <v>217</v>
      </c>
      <c r="F23" s="120" t="s">
        <v>86</v>
      </c>
      <c r="G23" s="121">
        <v>17812</v>
      </c>
      <c r="H23" s="134">
        <f t="shared" si="4"/>
        <v>0</v>
      </c>
      <c r="I23" s="121">
        <v>17812</v>
      </c>
      <c r="J23" s="121">
        <v>7911.64</v>
      </c>
      <c r="K23" s="121">
        <v>17812</v>
      </c>
      <c r="L23" s="121">
        <f t="shared" ref="L23:L25" si="11">K23/I23*100</f>
        <v>100</v>
      </c>
    </row>
    <row r="24" spans="1:12" s="184" customFormat="1">
      <c r="A24" s="119" t="s">
        <v>87</v>
      </c>
      <c r="B24" s="120" t="s">
        <v>404</v>
      </c>
      <c r="C24" s="120" t="s">
        <v>76</v>
      </c>
      <c r="D24" s="120" t="s">
        <v>78</v>
      </c>
      <c r="E24" s="120" t="s">
        <v>217</v>
      </c>
      <c r="F24" s="120" t="s">
        <v>88</v>
      </c>
      <c r="G24" s="121">
        <f>G25</f>
        <v>640</v>
      </c>
      <c r="H24" s="134">
        <f t="shared" si="4"/>
        <v>500</v>
      </c>
      <c r="I24" s="121">
        <f>I25</f>
        <v>1140</v>
      </c>
      <c r="J24" s="121">
        <f t="shared" ref="J24" si="12">J25</f>
        <v>734.1</v>
      </c>
      <c r="K24" s="121">
        <f>K25</f>
        <v>1140</v>
      </c>
      <c r="L24" s="121">
        <f t="shared" si="11"/>
        <v>100</v>
      </c>
    </row>
    <row r="25" spans="1:12" s="184" customFormat="1">
      <c r="A25" s="119" t="s">
        <v>514</v>
      </c>
      <c r="B25" s="120" t="s">
        <v>404</v>
      </c>
      <c r="C25" s="120" t="s">
        <v>76</v>
      </c>
      <c r="D25" s="120" t="s">
        <v>78</v>
      </c>
      <c r="E25" s="120" t="s">
        <v>217</v>
      </c>
      <c r="F25" s="120" t="s">
        <v>89</v>
      </c>
      <c r="G25" s="121">
        <v>640</v>
      </c>
      <c r="H25" s="134">
        <f t="shared" si="4"/>
        <v>500</v>
      </c>
      <c r="I25" s="121">
        <f>640+500</f>
        <v>1140</v>
      </c>
      <c r="J25" s="121">
        <v>734.1</v>
      </c>
      <c r="K25" s="121">
        <f>640+500</f>
        <v>1140</v>
      </c>
      <c r="L25" s="121">
        <f t="shared" si="11"/>
        <v>100</v>
      </c>
    </row>
    <row r="26" spans="1:12" s="184" customFormat="1">
      <c r="A26" s="110" t="s">
        <v>317</v>
      </c>
      <c r="B26" s="111">
        <v>598</v>
      </c>
      <c r="C26" s="111" t="s">
        <v>76</v>
      </c>
      <c r="D26" s="111" t="s">
        <v>90</v>
      </c>
      <c r="E26" s="111"/>
      <c r="F26" s="111"/>
      <c r="G26" s="112">
        <f>G27</f>
        <v>3000</v>
      </c>
      <c r="H26" s="134">
        <f t="shared" si="4"/>
        <v>10000</v>
      </c>
      <c r="I26" s="112">
        <f>I27</f>
        <v>13000</v>
      </c>
      <c r="J26" s="134">
        <f t="shared" ref="J26:J30" si="13">J27</f>
        <v>0</v>
      </c>
      <c r="K26" s="112">
        <f>K27</f>
        <v>3000</v>
      </c>
      <c r="L26" s="112">
        <f>K26/I26*100</f>
        <v>23.076923076923077</v>
      </c>
    </row>
    <row r="27" spans="1:12" s="205" customFormat="1">
      <c r="A27" s="145" t="s">
        <v>74</v>
      </c>
      <c r="B27" s="125">
        <v>598</v>
      </c>
      <c r="C27" s="125" t="s">
        <v>76</v>
      </c>
      <c r="D27" s="125" t="s">
        <v>90</v>
      </c>
      <c r="E27" s="125" t="s">
        <v>214</v>
      </c>
      <c r="F27" s="125"/>
      <c r="G27" s="126">
        <f>G28</f>
        <v>3000</v>
      </c>
      <c r="H27" s="134">
        <f t="shared" si="4"/>
        <v>10000</v>
      </c>
      <c r="I27" s="126">
        <f>I28</f>
        <v>13000</v>
      </c>
      <c r="J27" s="136">
        <f t="shared" si="13"/>
        <v>0</v>
      </c>
      <c r="K27" s="126">
        <f>K28</f>
        <v>3000</v>
      </c>
      <c r="L27" s="126">
        <f>K27/I27*100</f>
        <v>23.076923076923077</v>
      </c>
    </row>
    <row r="28" spans="1:12" s="205" customFormat="1">
      <c r="A28" s="127" t="s">
        <v>304</v>
      </c>
      <c r="B28" s="111" t="s">
        <v>404</v>
      </c>
      <c r="C28" s="111" t="s">
        <v>76</v>
      </c>
      <c r="D28" s="111" t="s">
        <v>90</v>
      </c>
      <c r="E28" s="111" t="s">
        <v>215</v>
      </c>
      <c r="F28" s="111"/>
      <c r="G28" s="112">
        <f>G29</f>
        <v>3000</v>
      </c>
      <c r="H28" s="134">
        <f t="shared" si="4"/>
        <v>10000</v>
      </c>
      <c r="I28" s="112">
        <f>I29</f>
        <v>13000</v>
      </c>
      <c r="J28" s="134">
        <f t="shared" si="13"/>
        <v>0</v>
      </c>
      <c r="K28" s="112">
        <f>K29</f>
        <v>3000</v>
      </c>
      <c r="L28" s="112">
        <f>K28/I28*100</f>
        <v>23.076923076923077</v>
      </c>
    </row>
    <row r="29" spans="1:12" s="122" customFormat="1">
      <c r="A29" s="119" t="s">
        <v>91</v>
      </c>
      <c r="B29" s="120">
        <v>598</v>
      </c>
      <c r="C29" s="120" t="s">
        <v>76</v>
      </c>
      <c r="D29" s="120" t="s">
        <v>90</v>
      </c>
      <c r="E29" s="120" t="s">
        <v>321</v>
      </c>
      <c r="F29" s="120"/>
      <c r="G29" s="121">
        <f>G30</f>
        <v>3000</v>
      </c>
      <c r="H29" s="134">
        <f t="shared" si="4"/>
        <v>10000</v>
      </c>
      <c r="I29" s="121">
        <f>I30</f>
        <v>13000</v>
      </c>
      <c r="J29" s="229">
        <f t="shared" si="13"/>
        <v>0</v>
      </c>
      <c r="K29" s="121">
        <f>K30</f>
        <v>3000</v>
      </c>
      <c r="L29" s="121">
        <f>K29/I29*100</f>
        <v>23.076923076923077</v>
      </c>
    </row>
    <row r="30" spans="1:12" s="122" customFormat="1">
      <c r="A30" s="119" t="s">
        <v>87</v>
      </c>
      <c r="B30" s="120">
        <v>598</v>
      </c>
      <c r="C30" s="120" t="s">
        <v>76</v>
      </c>
      <c r="D30" s="120" t="s">
        <v>90</v>
      </c>
      <c r="E30" s="120" t="s">
        <v>321</v>
      </c>
      <c r="F30" s="120" t="s">
        <v>88</v>
      </c>
      <c r="G30" s="121">
        <f>G31</f>
        <v>3000</v>
      </c>
      <c r="H30" s="134">
        <f t="shared" si="4"/>
        <v>10000</v>
      </c>
      <c r="I30" s="121">
        <f>I31</f>
        <v>13000</v>
      </c>
      <c r="J30" s="229">
        <f t="shared" si="13"/>
        <v>0</v>
      </c>
      <c r="K30" s="121">
        <f>K31</f>
        <v>3000</v>
      </c>
      <c r="L30" s="121">
        <f t="shared" ref="L30:L31" si="14">K30/I30*100</f>
        <v>23.076923076923077</v>
      </c>
    </row>
    <row r="31" spans="1:12" s="122" customFormat="1">
      <c r="A31" s="119" t="s">
        <v>92</v>
      </c>
      <c r="B31" s="120">
        <v>598</v>
      </c>
      <c r="C31" s="120" t="s">
        <v>76</v>
      </c>
      <c r="D31" s="120" t="s">
        <v>90</v>
      </c>
      <c r="E31" s="120" t="s">
        <v>321</v>
      </c>
      <c r="F31" s="120" t="s">
        <v>437</v>
      </c>
      <c r="G31" s="121">
        <v>3000</v>
      </c>
      <c r="H31" s="134">
        <f t="shared" si="4"/>
        <v>10000</v>
      </c>
      <c r="I31" s="121">
        <f>3000+10000</f>
        <v>13000</v>
      </c>
      <c r="J31" s="229">
        <v>0</v>
      </c>
      <c r="K31" s="121">
        <v>3000</v>
      </c>
      <c r="L31" s="121">
        <f t="shared" si="14"/>
        <v>23.076923076923077</v>
      </c>
    </row>
    <row r="32" spans="1:12" s="184" customFormat="1">
      <c r="A32" s="110" t="s">
        <v>318</v>
      </c>
      <c r="B32" s="111" t="s">
        <v>404</v>
      </c>
      <c r="C32" s="111" t="s">
        <v>76</v>
      </c>
      <c r="D32" s="111" t="s">
        <v>93</v>
      </c>
      <c r="E32" s="111"/>
      <c r="F32" s="111"/>
      <c r="G32" s="112">
        <f>G33+G63+G97</f>
        <v>100159.9</v>
      </c>
      <c r="H32" s="134">
        <f t="shared" si="4"/>
        <v>1800</v>
      </c>
      <c r="I32" s="112">
        <f>I33+I63+I97</f>
        <v>101959.9</v>
      </c>
      <c r="J32" s="112">
        <f t="shared" ref="J32" si="15">J33+J63+J97</f>
        <v>68881.633000000002</v>
      </c>
      <c r="K32" s="112">
        <f>K33+K63+K97</f>
        <v>101099.9</v>
      </c>
      <c r="L32" s="112">
        <f t="shared" ref="L32:L37" si="16">K32/I32*100</f>
        <v>99.156531146068204</v>
      </c>
    </row>
    <row r="33" spans="1:12" s="184" customFormat="1">
      <c r="A33" s="145" t="s">
        <v>74</v>
      </c>
      <c r="B33" s="125">
        <v>598</v>
      </c>
      <c r="C33" s="125" t="s">
        <v>76</v>
      </c>
      <c r="D33" s="125" t="s">
        <v>93</v>
      </c>
      <c r="E33" s="125" t="s">
        <v>214</v>
      </c>
      <c r="F33" s="125"/>
      <c r="G33" s="126">
        <f>G34</f>
        <v>59797</v>
      </c>
      <c r="H33" s="134">
        <f t="shared" si="4"/>
        <v>1800</v>
      </c>
      <c r="I33" s="126">
        <f>I34</f>
        <v>61597</v>
      </c>
      <c r="J33" s="126">
        <f t="shared" ref="J33" si="17">J34</f>
        <v>44180.84</v>
      </c>
      <c r="K33" s="126">
        <f>K34</f>
        <v>61597</v>
      </c>
      <c r="L33" s="126">
        <f t="shared" si="16"/>
        <v>100</v>
      </c>
    </row>
    <row r="34" spans="1:12" s="184" customFormat="1">
      <c r="A34" s="110" t="s">
        <v>304</v>
      </c>
      <c r="B34" s="111" t="s">
        <v>404</v>
      </c>
      <c r="C34" s="111" t="s">
        <v>76</v>
      </c>
      <c r="D34" s="111" t="s">
        <v>93</v>
      </c>
      <c r="E34" s="111" t="s">
        <v>215</v>
      </c>
      <c r="F34" s="111"/>
      <c r="G34" s="112">
        <f>G35+G53+G56+G59</f>
        <v>59797</v>
      </c>
      <c r="H34" s="134">
        <f t="shared" si="4"/>
        <v>1800</v>
      </c>
      <c r="I34" s="112">
        <f>I35+I53+I56+I59</f>
        <v>61597</v>
      </c>
      <c r="J34" s="112">
        <f t="shared" ref="J34" si="18">J35+J53+J56+J59</f>
        <v>44180.84</v>
      </c>
      <c r="K34" s="112">
        <f>K35+K53+K56+K59</f>
        <v>61597</v>
      </c>
      <c r="L34" s="112">
        <f t="shared" si="16"/>
        <v>100</v>
      </c>
    </row>
    <row r="35" spans="1:12" s="184" customFormat="1" ht="24">
      <c r="A35" s="143" t="s">
        <v>485</v>
      </c>
      <c r="B35" s="139" t="s">
        <v>404</v>
      </c>
      <c r="C35" s="139" t="s">
        <v>76</v>
      </c>
      <c r="D35" s="139" t="s">
        <v>93</v>
      </c>
      <c r="E35" s="139" t="s">
        <v>215</v>
      </c>
      <c r="F35" s="125"/>
      <c r="G35" s="144">
        <f>G36+G43+G46</f>
        <v>53797</v>
      </c>
      <c r="H35" s="134">
        <f t="shared" si="4"/>
        <v>0</v>
      </c>
      <c r="I35" s="144">
        <f>I36+I43+I46</f>
        <v>53797</v>
      </c>
      <c r="J35" s="144">
        <f t="shared" ref="J35" si="19">J36+J43+J46</f>
        <v>41460.14</v>
      </c>
      <c r="K35" s="144">
        <f>K36+K43+K46</f>
        <v>53797</v>
      </c>
      <c r="L35" s="144">
        <f t="shared" si="16"/>
        <v>100</v>
      </c>
    </row>
    <row r="36" spans="1:12" s="184" customFormat="1" ht="24">
      <c r="A36" s="110" t="s">
        <v>540</v>
      </c>
      <c r="B36" s="111" t="s">
        <v>404</v>
      </c>
      <c r="C36" s="111" t="s">
        <v>76</v>
      </c>
      <c r="D36" s="111" t="s">
        <v>93</v>
      </c>
      <c r="E36" s="111" t="s">
        <v>322</v>
      </c>
      <c r="F36" s="111"/>
      <c r="G36" s="112">
        <f>G37+G39+G41</f>
        <v>42202</v>
      </c>
      <c r="H36" s="134">
        <f t="shared" si="4"/>
        <v>0</v>
      </c>
      <c r="I36" s="112">
        <f>I37+I39+I41</f>
        <v>42202</v>
      </c>
      <c r="J36" s="112">
        <f t="shared" ref="J36" si="20">J37+J39+J41</f>
        <v>33070.340000000004</v>
      </c>
      <c r="K36" s="112">
        <f>K37+K39+K41</f>
        <v>42202</v>
      </c>
      <c r="L36" s="112">
        <f t="shared" si="16"/>
        <v>100</v>
      </c>
    </row>
    <row r="37" spans="1:12" s="184" customFormat="1" ht="36">
      <c r="A37" s="119" t="s">
        <v>79</v>
      </c>
      <c r="B37" s="120" t="s">
        <v>404</v>
      </c>
      <c r="C37" s="120" t="s">
        <v>76</v>
      </c>
      <c r="D37" s="120" t="s">
        <v>93</v>
      </c>
      <c r="E37" s="120" t="s">
        <v>322</v>
      </c>
      <c r="F37" s="120" t="s">
        <v>80</v>
      </c>
      <c r="G37" s="121">
        <f>G38</f>
        <v>34260</v>
      </c>
      <c r="H37" s="134">
        <f t="shared" si="4"/>
        <v>-1000</v>
      </c>
      <c r="I37" s="121">
        <f>I38</f>
        <v>33260</v>
      </c>
      <c r="J37" s="121">
        <f t="shared" ref="J37" si="21">J38</f>
        <v>27348.94</v>
      </c>
      <c r="K37" s="121">
        <f>K38</f>
        <v>33260</v>
      </c>
      <c r="L37" s="121">
        <f t="shared" si="16"/>
        <v>100</v>
      </c>
    </row>
    <row r="38" spans="1:12" s="184" customFormat="1">
      <c r="A38" s="119" t="s">
        <v>486</v>
      </c>
      <c r="B38" s="120" t="s">
        <v>404</v>
      </c>
      <c r="C38" s="120" t="s">
        <v>76</v>
      </c>
      <c r="D38" s="120" t="s">
        <v>93</v>
      </c>
      <c r="E38" s="120" t="s">
        <v>322</v>
      </c>
      <c r="F38" s="120" t="s">
        <v>487</v>
      </c>
      <c r="G38" s="121">
        <f>26240+100+7920</f>
        <v>34260</v>
      </c>
      <c r="H38" s="134">
        <f t="shared" si="4"/>
        <v>-1000</v>
      </c>
      <c r="I38" s="121">
        <f>26240+100+7920-1000</f>
        <v>33260</v>
      </c>
      <c r="J38" s="121">
        <v>27348.94</v>
      </c>
      <c r="K38" s="121">
        <f>26240+100+7920-1000</f>
        <v>33260</v>
      </c>
      <c r="L38" s="121">
        <f t="shared" ref="L38:L42" si="22">K38/I38*100</f>
        <v>100</v>
      </c>
    </row>
    <row r="39" spans="1:12" s="184" customFormat="1">
      <c r="A39" s="119" t="s">
        <v>301</v>
      </c>
      <c r="B39" s="120" t="s">
        <v>404</v>
      </c>
      <c r="C39" s="120" t="s">
        <v>76</v>
      </c>
      <c r="D39" s="120" t="s">
        <v>93</v>
      </c>
      <c r="E39" s="120" t="s">
        <v>322</v>
      </c>
      <c r="F39" s="120" t="s">
        <v>84</v>
      </c>
      <c r="G39" s="121">
        <f>G40</f>
        <v>7692</v>
      </c>
      <c r="H39" s="134">
        <f t="shared" si="4"/>
        <v>1000</v>
      </c>
      <c r="I39" s="121">
        <f>I40</f>
        <v>8692</v>
      </c>
      <c r="J39" s="121">
        <f t="shared" ref="J39" si="23">J40</f>
        <v>5637</v>
      </c>
      <c r="K39" s="121">
        <f>K40</f>
        <v>8692</v>
      </c>
      <c r="L39" s="121">
        <f t="shared" si="22"/>
        <v>100</v>
      </c>
    </row>
    <row r="40" spans="1:12" s="184" customFormat="1" ht="24">
      <c r="A40" s="119" t="s">
        <v>85</v>
      </c>
      <c r="B40" s="120" t="s">
        <v>404</v>
      </c>
      <c r="C40" s="120" t="s">
        <v>76</v>
      </c>
      <c r="D40" s="120" t="s">
        <v>93</v>
      </c>
      <c r="E40" s="120" t="s">
        <v>322</v>
      </c>
      <c r="F40" s="120" t="s">
        <v>86</v>
      </c>
      <c r="G40" s="121">
        <f>130+1400+50+100+6012</f>
        <v>7692</v>
      </c>
      <c r="H40" s="134">
        <f t="shared" si="4"/>
        <v>1000</v>
      </c>
      <c r="I40" s="121">
        <f>130+1400+50+100+6012+1000</f>
        <v>8692</v>
      </c>
      <c r="J40" s="121">
        <v>5637</v>
      </c>
      <c r="K40" s="121">
        <f>130+1400+50+100+6012+1000</f>
        <v>8692</v>
      </c>
      <c r="L40" s="121">
        <f t="shared" si="22"/>
        <v>100</v>
      </c>
    </row>
    <row r="41" spans="1:12" s="184" customFormat="1">
      <c r="A41" s="119" t="s">
        <v>87</v>
      </c>
      <c r="B41" s="120" t="s">
        <v>404</v>
      </c>
      <c r="C41" s="120" t="s">
        <v>76</v>
      </c>
      <c r="D41" s="120" t="s">
        <v>93</v>
      </c>
      <c r="E41" s="120" t="s">
        <v>322</v>
      </c>
      <c r="F41" s="120" t="s">
        <v>88</v>
      </c>
      <c r="G41" s="121">
        <f>G42</f>
        <v>250</v>
      </c>
      <c r="H41" s="134">
        <f t="shared" si="4"/>
        <v>0</v>
      </c>
      <c r="I41" s="121">
        <f>I42</f>
        <v>250</v>
      </c>
      <c r="J41" s="121">
        <f t="shared" ref="J41" si="24">J42</f>
        <v>84.4</v>
      </c>
      <c r="K41" s="121">
        <f>K42</f>
        <v>250</v>
      </c>
      <c r="L41" s="121">
        <f t="shared" si="22"/>
        <v>100</v>
      </c>
    </row>
    <row r="42" spans="1:12" s="184" customFormat="1">
      <c r="A42" s="119" t="s">
        <v>514</v>
      </c>
      <c r="B42" s="120" t="s">
        <v>404</v>
      </c>
      <c r="C42" s="120" t="s">
        <v>76</v>
      </c>
      <c r="D42" s="120" t="s">
        <v>93</v>
      </c>
      <c r="E42" s="120" t="s">
        <v>322</v>
      </c>
      <c r="F42" s="120" t="s">
        <v>89</v>
      </c>
      <c r="G42" s="121">
        <v>250</v>
      </c>
      <c r="H42" s="134">
        <f t="shared" si="4"/>
        <v>0</v>
      </c>
      <c r="I42" s="121">
        <v>250</v>
      </c>
      <c r="J42" s="121">
        <v>84.4</v>
      </c>
      <c r="K42" s="121">
        <v>250</v>
      </c>
      <c r="L42" s="121">
        <f t="shared" si="22"/>
        <v>100</v>
      </c>
    </row>
    <row r="43" spans="1:12" s="184" customFormat="1" ht="24">
      <c r="A43" s="110" t="s">
        <v>128</v>
      </c>
      <c r="B43" s="111" t="s">
        <v>404</v>
      </c>
      <c r="C43" s="111" t="s">
        <v>76</v>
      </c>
      <c r="D43" s="111" t="s">
        <v>93</v>
      </c>
      <c r="E43" s="111" t="s">
        <v>327</v>
      </c>
      <c r="F43" s="111"/>
      <c r="G43" s="112">
        <f>G44</f>
        <v>2880</v>
      </c>
      <c r="H43" s="134">
        <f t="shared" si="4"/>
        <v>0</v>
      </c>
      <c r="I43" s="112">
        <f>I44</f>
        <v>2880</v>
      </c>
      <c r="J43" s="112">
        <f t="shared" ref="J43:J44" si="25">J44</f>
        <v>2105.6</v>
      </c>
      <c r="K43" s="112">
        <f>K44</f>
        <v>2880</v>
      </c>
      <c r="L43" s="112">
        <f>K43/I43*100</f>
        <v>100</v>
      </c>
    </row>
    <row r="44" spans="1:12" s="184" customFormat="1" ht="24">
      <c r="A44" s="119" t="s">
        <v>104</v>
      </c>
      <c r="B44" s="120" t="s">
        <v>404</v>
      </c>
      <c r="C44" s="120" t="s">
        <v>76</v>
      </c>
      <c r="D44" s="120" t="s">
        <v>93</v>
      </c>
      <c r="E44" s="120" t="s">
        <v>327</v>
      </c>
      <c r="F44" s="120" t="s">
        <v>408</v>
      </c>
      <c r="G44" s="121">
        <f>G45</f>
        <v>2880</v>
      </c>
      <c r="H44" s="134">
        <f t="shared" si="4"/>
        <v>0</v>
      </c>
      <c r="I44" s="121">
        <f>I45</f>
        <v>2880</v>
      </c>
      <c r="J44" s="121">
        <f t="shared" si="25"/>
        <v>2105.6</v>
      </c>
      <c r="K44" s="121">
        <f>K45</f>
        <v>2880</v>
      </c>
      <c r="L44" s="121">
        <f>K44/I44*100</f>
        <v>100</v>
      </c>
    </row>
    <row r="45" spans="1:12" s="184" customFormat="1">
      <c r="A45" s="119" t="s">
        <v>105</v>
      </c>
      <c r="B45" s="120" t="s">
        <v>404</v>
      </c>
      <c r="C45" s="120" t="s">
        <v>76</v>
      </c>
      <c r="D45" s="120" t="s">
        <v>93</v>
      </c>
      <c r="E45" s="120" t="s">
        <v>327</v>
      </c>
      <c r="F45" s="120" t="s">
        <v>425</v>
      </c>
      <c r="G45" s="121">
        <v>2880</v>
      </c>
      <c r="H45" s="134">
        <f t="shared" si="4"/>
        <v>0</v>
      </c>
      <c r="I45" s="121">
        <v>2880</v>
      </c>
      <c r="J45" s="121">
        <v>2105.6</v>
      </c>
      <c r="K45" s="121">
        <v>2880</v>
      </c>
      <c r="L45" s="121">
        <f>K45/I45*100</f>
        <v>100</v>
      </c>
    </row>
    <row r="46" spans="1:12" s="184" customFormat="1" ht="24">
      <c r="A46" s="110" t="s">
        <v>709</v>
      </c>
      <c r="B46" s="111" t="s">
        <v>404</v>
      </c>
      <c r="C46" s="111" t="s">
        <v>76</v>
      </c>
      <c r="D46" s="111" t="s">
        <v>93</v>
      </c>
      <c r="E46" s="111" t="s">
        <v>328</v>
      </c>
      <c r="F46" s="111"/>
      <c r="G46" s="112">
        <f>G47+G49+G51</f>
        <v>8715</v>
      </c>
      <c r="H46" s="134">
        <f t="shared" si="4"/>
        <v>0</v>
      </c>
      <c r="I46" s="112">
        <f>I47+I49+I51</f>
        <v>8715</v>
      </c>
      <c r="J46" s="112">
        <f t="shared" ref="J46" si="26">J47+J49+J51</f>
        <v>6284.2000000000007</v>
      </c>
      <c r="K46" s="112">
        <f>K47+K49+K51</f>
        <v>8715</v>
      </c>
      <c r="L46" s="112">
        <f>K46/I46*100</f>
        <v>100</v>
      </c>
    </row>
    <row r="47" spans="1:12" s="184" customFormat="1" ht="36">
      <c r="A47" s="119" t="s">
        <v>79</v>
      </c>
      <c r="B47" s="120" t="s">
        <v>404</v>
      </c>
      <c r="C47" s="120" t="s">
        <v>76</v>
      </c>
      <c r="D47" s="120" t="s">
        <v>93</v>
      </c>
      <c r="E47" s="120" t="s">
        <v>328</v>
      </c>
      <c r="F47" s="120" t="s">
        <v>80</v>
      </c>
      <c r="G47" s="121">
        <f>G48</f>
        <v>8365</v>
      </c>
      <c r="H47" s="134">
        <f t="shared" si="4"/>
        <v>0</v>
      </c>
      <c r="I47" s="121">
        <f>I48</f>
        <v>8365</v>
      </c>
      <c r="J47" s="121">
        <f t="shared" ref="J47" si="27">J48</f>
        <v>6137.3</v>
      </c>
      <c r="K47" s="121">
        <f>K48</f>
        <v>8365</v>
      </c>
      <c r="L47" s="121">
        <f>K47/I47*100</f>
        <v>100</v>
      </c>
    </row>
    <row r="48" spans="1:12" s="184" customFormat="1">
      <c r="A48" s="119" t="s">
        <v>486</v>
      </c>
      <c r="B48" s="120" t="s">
        <v>404</v>
      </c>
      <c r="C48" s="120" t="s">
        <v>76</v>
      </c>
      <c r="D48" s="120" t="s">
        <v>93</v>
      </c>
      <c r="E48" s="120" t="s">
        <v>328</v>
      </c>
      <c r="F48" s="120" t="s">
        <v>487</v>
      </c>
      <c r="G48" s="121">
        <f>6305+12+1903+25+120</f>
        <v>8365</v>
      </c>
      <c r="H48" s="134">
        <f t="shared" si="4"/>
        <v>0</v>
      </c>
      <c r="I48" s="121">
        <v>8365</v>
      </c>
      <c r="J48" s="121">
        <v>6137.3</v>
      </c>
      <c r="K48" s="121">
        <v>8365</v>
      </c>
      <c r="L48" s="121">
        <f t="shared" ref="L48:L52" si="28">K48/I48*100</f>
        <v>100</v>
      </c>
    </row>
    <row r="49" spans="1:12" s="184" customFormat="1">
      <c r="A49" s="119" t="s">
        <v>301</v>
      </c>
      <c r="B49" s="120" t="s">
        <v>404</v>
      </c>
      <c r="C49" s="120" t="s">
        <v>76</v>
      </c>
      <c r="D49" s="120" t="s">
        <v>93</v>
      </c>
      <c r="E49" s="120" t="s">
        <v>328</v>
      </c>
      <c r="F49" s="120" t="s">
        <v>84</v>
      </c>
      <c r="G49" s="121">
        <f>G50</f>
        <v>335</v>
      </c>
      <c r="H49" s="134">
        <f t="shared" si="4"/>
        <v>0</v>
      </c>
      <c r="I49" s="121">
        <f>I50</f>
        <v>335</v>
      </c>
      <c r="J49" s="121">
        <f t="shared" ref="J49" si="29">J50</f>
        <v>140.1</v>
      </c>
      <c r="K49" s="121">
        <f>K50</f>
        <v>335</v>
      </c>
      <c r="L49" s="121">
        <f t="shared" si="28"/>
        <v>100</v>
      </c>
    </row>
    <row r="50" spans="1:12" s="184" customFormat="1" ht="24">
      <c r="A50" s="119" t="s">
        <v>85</v>
      </c>
      <c r="B50" s="120" t="s">
        <v>404</v>
      </c>
      <c r="C50" s="120" t="s">
        <v>76</v>
      </c>
      <c r="D50" s="120" t="s">
        <v>93</v>
      </c>
      <c r="E50" s="120" t="s">
        <v>328</v>
      </c>
      <c r="F50" s="120" t="s">
        <v>86</v>
      </c>
      <c r="G50" s="121">
        <f>10+30+185+40+70</f>
        <v>335</v>
      </c>
      <c r="H50" s="134">
        <f t="shared" si="4"/>
        <v>0</v>
      </c>
      <c r="I50" s="121">
        <f>10+30+185+40+70</f>
        <v>335</v>
      </c>
      <c r="J50" s="121">
        <v>140.1</v>
      </c>
      <c r="K50" s="121">
        <f>10+30+185+40+70</f>
        <v>335</v>
      </c>
      <c r="L50" s="121">
        <f t="shared" si="28"/>
        <v>100</v>
      </c>
    </row>
    <row r="51" spans="1:12" s="184" customFormat="1">
      <c r="A51" s="119" t="s">
        <v>87</v>
      </c>
      <c r="B51" s="120" t="s">
        <v>404</v>
      </c>
      <c r="C51" s="120" t="s">
        <v>76</v>
      </c>
      <c r="D51" s="120" t="s">
        <v>93</v>
      </c>
      <c r="E51" s="120" t="s">
        <v>328</v>
      </c>
      <c r="F51" s="120" t="s">
        <v>88</v>
      </c>
      <c r="G51" s="121">
        <f>G52</f>
        <v>15</v>
      </c>
      <c r="H51" s="134">
        <f t="shared" si="4"/>
        <v>0</v>
      </c>
      <c r="I51" s="121">
        <f>I52</f>
        <v>15</v>
      </c>
      <c r="J51" s="121">
        <f t="shared" ref="J51" si="30">J52</f>
        <v>6.8</v>
      </c>
      <c r="K51" s="121">
        <f>K52</f>
        <v>15</v>
      </c>
      <c r="L51" s="121">
        <f t="shared" si="28"/>
        <v>100</v>
      </c>
    </row>
    <row r="52" spans="1:12" s="184" customFormat="1">
      <c r="A52" s="119" t="s">
        <v>514</v>
      </c>
      <c r="B52" s="120" t="s">
        <v>404</v>
      </c>
      <c r="C52" s="120" t="s">
        <v>76</v>
      </c>
      <c r="D52" s="120" t="s">
        <v>93</v>
      </c>
      <c r="E52" s="120" t="s">
        <v>328</v>
      </c>
      <c r="F52" s="120" t="s">
        <v>89</v>
      </c>
      <c r="G52" s="121">
        <v>15</v>
      </c>
      <c r="H52" s="134">
        <f t="shared" si="4"/>
        <v>0</v>
      </c>
      <c r="I52" s="121">
        <v>15</v>
      </c>
      <c r="J52" s="121">
        <v>6.8</v>
      </c>
      <c r="K52" s="121">
        <v>15</v>
      </c>
      <c r="L52" s="121">
        <f t="shared" si="28"/>
        <v>100</v>
      </c>
    </row>
    <row r="53" spans="1:12" s="184" customFormat="1" ht="36">
      <c r="A53" s="110" t="s">
        <v>130</v>
      </c>
      <c r="B53" s="111" t="s">
        <v>404</v>
      </c>
      <c r="C53" s="111" t="s">
        <v>76</v>
      </c>
      <c r="D53" s="111" t="s">
        <v>93</v>
      </c>
      <c r="E53" s="111" t="s">
        <v>57</v>
      </c>
      <c r="F53" s="111"/>
      <c r="G53" s="112">
        <f>G54</f>
        <v>3000</v>
      </c>
      <c r="H53" s="134">
        <f t="shared" si="4"/>
        <v>0</v>
      </c>
      <c r="I53" s="112">
        <f>I54</f>
        <v>3000</v>
      </c>
      <c r="J53" s="228">
        <f t="shared" ref="J53:J54" si="31">J54</f>
        <v>0</v>
      </c>
      <c r="K53" s="112">
        <f>K54</f>
        <v>3000</v>
      </c>
      <c r="L53" s="112">
        <f>K53/I53*100</f>
        <v>100</v>
      </c>
    </row>
    <row r="54" spans="1:12" s="184" customFormat="1">
      <c r="A54" s="119" t="s">
        <v>87</v>
      </c>
      <c r="B54" s="120" t="s">
        <v>404</v>
      </c>
      <c r="C54" s="120" t="s">
        <v>76</v>
      </c>
      <c r="D54" s="120" t="s">
        <v>93</v>
      </c>
      <c r="E54" s="120" t="s">
        <v>57</v>
      </c>
      <c r="F54" s="120" t="s">
        <v>88</v>
      </c>
      <c r="G54" s="121">
        <f>G55</f>
        <v>3000</v>
      </c>
      <c r="H54" s="134">
        <f t="shared" si="4"/>
        <v>0</v>
      </c>
      <c r="I54" s="121">
        <f>I55</f>
        <v>3000</v>
      </c>
      <c r="J54" s="229">
        <f t="shared" si="31"/>
        <v>0</v>
      </c>
      <c r="K54" s="121">
        <f>K55</f>
        <v>3000</v>
      </c>
      <c r="L54" s="121">
        <f>K54/I54*100</f>
        <v>100</v>
      </c>
    </row>
    <row r="55" spans="1:12" s="184" customFormat="1">
      <c r="A55" s="119" t="s">
        <v>514</v>
      </c>
      <c r="B55" s="120" t="s">
        <v>404</v>
      </c>
      <c r="C55" s="120" t="s">
        <v>76</v>
      </c>
      <c r="D55" s="120" t="s">
        <v>93</v>
      </c>
      <c r="E55" s="120" t="s">
        <v>57</v>
      </c>
      <c r="F55" s="120" t="s">
        <v>89</v>
      </c>
      <c r="G55" s="121">
        <v>3000</v>
      </c>
      <c r="H55" s="134">
        <f t="shared" si="4"/>
        <v>0</v>
      </c>
      <c r="I55" s="121">
        <v>3000</v>
      </c>
      <c r="J55" s="229">
        <v>0</v>
      </c>
      <c r="K55" s="121">
        <v>3000</v>
      </c>
      <c r="L55" s="121">
        <f t="shared" ref="L55:L62" si="32">K55/I55*100</f>
        <v>100</v>
      </c>
    </row>
    <row r="56" spans="1:12" s="184" customFormat="1">
      <c r="A56" s="110" t="s">
        <v>131</v>
      </c>
      <c r="B56" s="111" t="s">
        <v>404</v>
      </c>
      <c r="C56" s="111" t="s">
        <v>76</v>
      </c>
      <c r="D56" s="111" t="s">
        <v>93</v>
      </c>
      <c r="E56" s="111" t="s">
        <v>132</v>
      </c>
      <c r="F56" s="111"/>
      <c r="G56" s="112">
        <f>G57</f>
        <v>1000</v>
      </c>
      <c r="H56" s="134">
        <f t="shared" si="4"/>
        <v>0</v>
      </c>
      <c r="I56" s="112">
        <f>I57</f>
        <v>1000</v>
      </c>
      <c r="J56" s="228">
        <f t="shared" ref="J56:J57" si="33">J57</f>
        <v>0</v>
      </c>
      <c r="K56" s="112">
        <f>K57</f>
        <v>1000</v>
      </c>
      <c r="L56" s="112">
        <f t="shared" si="32"/>
        <v>100</v>
      </c>
    </row>
    <row r="57" spans="1:12" s="184" customFormat="1">
      <c r="A57" s="119" t="s">
        <v>87</v>
      </c>
      <c r="B57" s="120" t="s">
        <v>404</v>
      </c>
      <c r="C57" s="120" t="s">
        <v>76</v>
      </c>
      <c r="D57" s="120" t="s">
        <v>93</v>
      </c>
      <c r="E57" s="120" t="s">
        <v>132</v>
      </c>
      <c r="F57" s="120" t="s">
        <v>88</v>
      </c>
      <c r="G57" s="121">
        <f>G58</f>
        <v>1000</v>
      </c>
      <c r="H57" s="134">
        <f t="shared" si="4"/>
        <v>0</v>
      </c>
      <c r="I57" s="121">
        <f>I58</f>
        <v>1000</v>
      </c>
      <c r="J57" s="229">
        <f t="shared" si="33"/>
        <v>0</v>
      </c>
      <c r="K57" s="121">
        <f>K58</f>
        <v>1000</v>
      </c>
      <c r="L57" s="121">
        <f t="shared" si="32"/>
        <v>100</v>
      </c>
    </row>
    <row r="58" spans="1:12" s="184" customFormat="1">
      <c r="A58" s="119" t="s">
        <v>514</v>
      </c>
      <c r="B58" s="120" t="s">
        <v>404</v>
      </c>
      <c r="C58" s="120" t="s">
        <v>76</v>
      </c>
      <c r="D58" s="120" t="s">
        <v>93</v>
      </c>
      <c r="E58" s="120" t="s">
        <v>132</v>
      </c>
      <c r="F58" s="120" t="s">
        <v>89</v>
      </c>
      <c r="G58" s="121">
        <v>1000</v>
      </c>
      <c r="H58" s="134">
        <f t="shared" si="4"/>
        <v>0</v>
      </c>
      <c r="I58" s="121">
        <v>1000</v>
      </c>
      <c r="J58" s="229">
        <v>0</v>
      </c>
      <c r="K58" s="121">
        <v>1000</v>
      </c>
      <c r="L58" s="121">
        <f t="shared" si="32"/>
        <v>100</v>
      </c>
    </row>
    <row r="59" spans="1:12" s="184" customFormat="1">
      <c r="A59" s="110" t="s">
        <v>319</v>
      </c>
      <c r="B59" s="111" t="s">
        <v>404</v>
      </c>
      <c r="C59" s="111" t="s">
        <v>76</v>
      </c>
      <c r="D59" s="111" t="s">
        <v>93</v>
      </c>
      <c r="E59" s="142" t="s">
        <v>344</v>
      </c>
      <c r="F59" s="111"/>
      <c r="G59" s="134">
        <f>G60</f>
        <v>2000</v>
      </c>
      <c r="H59" s="134">
        <f t="shared" si="4"/>
        <v>1800</v>
      </c>
      <c r="I59" s="134">
        <f>I60</f>
        <v>3800</v>
      </c>
      <c r="J59" s="134">
        <f t="shared" ref="J59" si="34">J60</f>
        <v>2720.7</v>
      </c>
      <c r="K59" s="134">
        <f>K60</f>
        <v>3800</v>
      </c>
      <c r="L59" s="112">
        <f t="shared" si="32"/>
        <v>100</v>
      </c>
    </row>
    <row r="60" spans="1:12" s="184" customFormat="1">
      <c r="A60" s="119" t="s">
        <v>87</v>
      </c>
      <c r="B60" s="120" t="s">
        <v>404</v>
      </c>
      <c r="C60" s="120" t="s">
        <v>76</v>
      </c>
      <c r="D60" s="120" t="s">
        <v>93</v>
      </c>
      <c r="E60" s="130" t="s">
        <v>344</v>
      </c>
      <c r="F60" s="120" t="s">
        <v>88</v>
      </c>
      <c r="G60" s="135">
        <f>G61+G62</f>
        <v>2000</v>
      </c>
      <c r="H60" s="134">
        <f t="shared" si="4"/>
        <v>1800</v>
      </c>
      <c r="I60" s="135">
        <f>I61+I62</f>
        <v>3800</v>
      </c>
      <c r="J60" s="135">
        <f t="shared" ref="J60" si="35">J61+J62</f>
        <v>2720.7</v>
      </c>
      <c r="K60" s="135">
        <f>K61+K62</f>
        <v>3800</v>
      </c>
      <c r="L60" s="121">
        <f t="shared" si="32"/>
        <v>100</v>
      </c>
    </row>
    <row r="61" spans="1:12" s="184" customFormat="1">
      <c r="A61" s="119" t="s">
        <v>150</v>
      </c>
      <c r="B61" s="120" t="s">
        <v>404</v>
      </c>
      <c r="C61" s="120" t="s">
        <v>76</v>
      </c>
      <c r="D61" s="120" t="s">
        <v>93</v>
      </c>
      <c r="E61" s="130" t="s">
        <v>344</v>
      </c>
      <c r="F61" s="120" t="s">
        <v>154</v>
      </c>
      <c r="G61" s="135">
        <v>1950</v>
      </c>
      <c r="H61" s="134">
        <f t="shared" si="4"/>
        <v>1800</v>
      </c>
      <c r="I61" s="135">
        <f>1950+1800</f>
        <v>3750</v>
      </c>
      <c r="J61" s="135">
        <v>2720.7</v>
      </c>
      <c r="K61" s="135">
        <f>1950+1800</f>
        <v>3750</v>
      </c>
      <c r="L61" s="121">
        <f t="shared" si="32"/>
        <v>100</v>
      </c>
    </row>
    <row r="62" spans="1:12" s="184" customFormat="1">
      <c r="A62" s="119" t="s">
        <v>514</v>
      </c>
      <c r="B62" s="120" t="s">
        <v>404</v>
      </c>
      <c r="C62" s="120" t="s">
        <v>76</v>
      </c>
      <c r="D62" s="120" t="s">
        <v>93</v>
      </c>
      <c r="E62" s="130" t="s">
        <v>344</v>
      </c>
      <c r="F62" s="120" t="s">
        <v>89</v>
      </c>
      <c r="G62" s="135">
        <v>50</v>
      </c>
      <c r="H62" s="134">
        <f t="shared" si="4"/>
        <v>0</v>
      </c>
      <c r="I62" s="135">
        <v>50</v>
      </c>
      <c r="J62" s="135">
        <v>0</v>
      </c>
      <c r="K62" s="135">
        <v>50</v>
      </c>
      <c r="L62" s="121">
        <f t="shared" si="32"/>
        <v>100</v>
      </c>
    </row>
    <row r="63" spans="1:12" s="184" customFormat="1" ht="40.5">
      <c r="A63" s="123" t="s">
        <v>541</v>
      </c>
      <c r="B63" s="114" t="s">
        <v>404</v>
      </c>
      <c r="C63" s="114" t="s">
        <v>76</v>
      </c>
      <c r="D63" s="114" t="s">
        <v>93</v>
      </c>
      <c r="E63" s="146" t="s">
        <v>218</v>
      </c>
      <c r="F63" s="147"/>
      <c r="G63" s="115">
        <f>G64+G71+G90</f>
        <v>38642.9</v>
      </c>
      <c r="H63" s="134">
        <f t="shared" si="4"/>
        <v>0</v>
      </c>
      <c r="I63" s="115">
        <f>I64+I71+I90</f>
        <v>38642.9</v>
      </c>
      <c r="J63" s="115">
        <f t="shared" ref="J63" si="36">J64+J71+J90</f>
        <v>24400.442999999999</v>
      </c>
      <c r="K63" s="115">
        <f>K64+K71+K90</f>
        <v>38642.9</v>
      </c>
      <c r="L63" s="115">
        <f t="shared" ref="L63:L93" si="37">K63/I63*100</f>
        <v>100</v>
      </c>
    </row>
    <row r="64" spans="1:12" s="184" customFormat="1" ht="27">
      <c r="A64" s="148" t="s">
        <v>542</v>
      </c>
      <c r="B64" s="114" t="s">
        <v>404</v>
      </c>
      <c r="C64" s="114" t="s">
        <v>76</v>
      </c>
      <c r="D64" s="114" t="s">
        <v>93</v>
      </c>
      <c r="E64" s="149" t="s">
        <v>176</v>
      </c>
      <c r="F64" s="147"/>
      <c r="G64" s="115">
        <f>G65+G68</f>
        <v>25382</v>
      </c>
      <c r="H64" s="134">
        <f t="shared" si="4"/>
        <v>0</v>
      </c>
      <c r="I64" s="115">
        <f>I65+I68</f>
        <v>25382</v>
      </c>
      <c r="J64" s="115">
        <f t="shared" ref="J64" si="38">J65+J68</f>
        <v>19418.2</v>
      </c>
      <c r="K64" s="115">
        <f>K65+K68</f>
        <v>25382</v>
      </c>
      <c r="L64" s="115">
        <f t="shared" si="37"/>
        <v>100</v>
      </c>
    </row>
    <row r="65" spans="1:12" s="184" customFormat="1" ht="24">
      <c r="A65" s="110" t="s">
        <v>543</v>
      </c>
      <c r="B65" s="111" t="s">
        <v>404</v>
      </c>
      <c r="C65" s="111" t="s">
        <v>76</v>
      </c>
      <c r="D65" s="111" t="s">
        <v>93</v>
      </c>
      <c r="E65" s="142" t="s">
        <v>129</v>
      </c>
      <c r="F65" s="150"/>
      <c r="G65" s="134">
        <f>G66</f>
        <v>7140</v>
      </c>
      <c r="H65" s="134">
        <f t="shared" si="4"/>
        <v>0</v>
      </c>
      <c r="I65" s="134">
        <f>I66</f>
        <v>7140</v>
      </c>
      <c r="J65" s="134">
        <f t="shared" ref="J65:J66" si="39">J66</f>
        <v>5950</v>
      </c>
      <c r="K65" s="134">
        <f>K66</f>
        <v>7140</v>
      </c>
      <c r="L65" s="134">
        <f t="shared" si="37"/>
        <v>100</v>
      </c>
    </row>
    <row r="66" spans="1:12" s="184" customFormat="1">
      <c r="A66" s="119" t="s">
        <v>301</v>
      </c>
      <c r="B66" s="120" t="s">
        <v>404</v>
      </c>
      <c r="C66" s="120" t="s">
        <v>76</v>
      </c>
      <c r="D66" s="120" t="s">
        <v>93</v>
      </c>
      <c r="E66" s="130" t="s">
        <v>129</v>
      </c>
      <c r="F66" s="137">
        <v>200</v>
      </c>
      <c r="G66" s="135">
        <f>G67</f>
        <v>7140</v>
      </c>
      <c r="H66" s="134">
        <f t="shared" si="4"/>
        <v>0</v>
      </c>
      <c r="I66" s="135">
        <f>I67</f>
        <v>7140</v>
      </c>
      <c r="J66" s="135">
        <f t="shared" si="39"/>
        <v>5950</v>
      </c>
      <c r="K66" s="135">
        <f>K67</f>
        <v>7140</v>
      </c>
      <c r="L66" s="135">
        <f t="shared" si="37"/>
        <v>100</v>
      </c>
    </row>
    <row r="67" spans="1:12" s="184" customFormat="1" ht="24">
      <c r="A67" s="119" t="s">
        <v>85</v>
      </c>
      <c r="B67" s="120" t="s">
        <v>404</v>
      </c>
      <c r="C67" s="120" t="s">
        <v>76</v>
      </c>
      <c r="D67" s="120" t="s">
        <v>93</v>
      </c>
      <c r="E67" s="130" t="s">
        <v>129</v>
      </c>
      <c r="F67" s="137">
        <v>240</v>
      </c>
      <c r="G67" s="135">
        <v>7140</v>
      </c>
      <c r="H67" s="134">
        <f t="shared" si="4"/>
        <v>0</v>
      </c>
      <c r="I67" s="135">
        <v>7140</v>
      </c>
      <c r="J67" s="135">
        <v>5950</v>
      </c>
      <c r="K67" s="135">
        <v>7140</v>
      </c>
      <c r="L67" s="135">
        <f t="shared" si="37"/>
        <v>100</v>
      </c>
    </row>
    <row r="68" spans="1:12" s="184" customFormat="1" ht="24">
      <c r="A68" s="110" t="s">
        <v>544</v>
      </c>
      <c r="B68" s="111" t="s">
        <v>404</v>
      </c>
      <c r="C68" s="111" t="s">
        <v>76</v>
      </c>
      <c r="D68" s="111" t="s">
        <v>93</v>
      </c>
      <c r="E68" s="142" t="s">
        <v>545</v>
      </c>
      <c r="F68" s="150"/>
      <c r="G68" s="134">
        <f>G69</f>
        <v>18242</v>
      </c>
      <c r="H68" s="134">
        <f t="shared" si="4"/>
        <v>0</v>
      </c>
      <c r="I68" s="134">
        <f>I69</f>
        <v>18242</v>
      </c>
      <c r="J68" s="134">
        <f t="shared" ref="J68:J69" si="40">J69</f>
        <v>13468.2</v>
      </c>
      <c r="K68" s="134">
        <f>K69</f>
        <v>18242</v>
      </c>
      <c r="L68" s="134">
        <f t="shared" si="37"/>
        <v>100</v>
      </c>
    </row>
    <row r="69" spans="1:12" s="184" customFormat="1">
      <c r="A69" s="119" t="s">
        <v>301</v>
      </c>
      <c r="B69" s="120" t="s">
        <v>404</v>
      </c>
      <c r="C69" s="120" t="s">
        <v>76</v>
      </c>
      <c r="D69" s="120" t="s">
        <v>93</v>
      </c>
      <c r="E69" s="130" t="s">
        <v>545</v>
      </c>
      <c r="F69" s="137">
        <v>200</v>
      </c>
      <c r="G69" s="135">
        <f>G70</f>
        <v>18242</v>
      </c>
      <c r="H69" s="134">
        <f t="shared" si="4"/>
        <v>0</v>
      </c>
      <c r="I69" s="135">
        <f>I70</f>
        <v>18242</v>
      </c>
      <c r="J69" s="135">
        <f t="shared" si="40"/>
        <v>13468.2</v>
      </c>
      <c r="K69" s="135">
        <f>K70</f>
        <v>18242</v>
      </c>
      <c r="L69" s="135">
        <f t="shared" si="37"/>
        <v>100</v>
      </c>
    </row>
    <row r="70" spans="1:12" s="184" customFormat="1" ht="24">
      <c r="A70" s="119" t="s">
        <v>85</v>
      </c>
      <c r="B70" s="120" t="s">
        <v>404</v>
      </c>
      <c r="C70" s="120" t="s">
        <v>76</v>
      </c>
      <c r="D70" s="120" t="s">
        <v>93</v>
      </c>
      <c r="E70" s="130" t="s">
        <v>545</v>
      </c>
      <c r="F70" s="137">
        <v>240</v>
      </c>
      <c r="G70" s="135">
        <v>18242</v>
      </c>
      <c r="H70" s="134">
        <f t="shared" si="4"/>
        <v>0</v>
      </c>
      <c r="I70" s="135">
        <v>18242</v>
      </c>
      <c r="J70" s="135">
        <v>13468.2</v>
      </c>
      <c r="K70" s="135">
        <v>18242</v>
      </c>
      <c r="L70" s="135">
        <f t="shared" si="37"/>
        <v>100</v>
      </c>
    </row>
    <row r="71" spans="1:12" s="184" customFormat="1" ht="27">
      <c r="A71" s="148" t="s">
        <v>58</v>
      </c>
      <c r="B71" s="114" t="s">
        <v>404</v>
      </c>
      <c r="C71" s="114" t="s">
        <v>76</v>
      </c>
      <c r="D71" s="114" t="s">
        <v>93</v>
      </c>
      <c r="E71" s="149" t="s">
        <v>251</v>
      </c>
      <c r="F71" s="147"/>
      <c r="G71" s="115">
        <f>G72+G75+G78+G81+G84+G87</f>
        <v>10560.9</v>
      </c>
      <c r="H71" s="134">
        <f t="shared" si="4"/>
        <v>0</v>
      </c>
      <c r="I71" s="115">
        <f>I72+I75+I78+I81+I84+I87</f>
        <v>10560.9</v>
      </c>
      <c r="J71" s="115">
        <f t="shared" ref="J71" si="41">J72+J75+J78+J81+J84+J87</f>
        <v>4982.2430000000004</v>
      </c>
      <c r="K71" s="115">
        <f>K72+K75+K78+K81+K84+K87</f>
        <v>10560.9</v>
      </c>
      <c r="L71" s="115">
        <f t="shared" si="37"/>
        <v>100</v>
      </c>
    </row>
    <row r="72" spans="1:12" s="184" customFormat="1">
      <c r="A72" s="141" t="s">
        <v>546</v>
      </c>
      <c r="B72" s="111" t="s">
        <v>404</v>
      </c>
      <c r="C72" s="111" t="s">
        <v>76</v>
      </c>
      <c r="D72" s="111" t="s">
        <v>93</v>
      </c>
      <c r="E72" s="142" t="s">
        <v>547</v>
      </c>
      <c r="F72" s="150"/>
      <c r="G72" s="112">
        <f>G73</f>
        <v>906.9</v>
      </c>
      <c r="H72" s="134">
        <f t="shared" si="4"/>
        <v>300.00000000000011</v>
      </c>
      <c r="I72" s="112">
        <f>I73</f>
        <v>1206.9000000000001</v>
      </c>
      <c r="J72" s="112">
        <f t="shared" ref="J72:J73" si="42">J73</f>
        <v>943.678</v>
      </c>
      <c r="K72" s="112">
        <f>K73</f>
        <v>1206.9000000000001</v>
      </c>
      <c r="L72" s="112">
        <f t="shared" si="37"/>
        <v>100</v>
      </c>
    </row>
    <row r="73" spans="1:12" s="184" customFormat="1">
      <c r="A73" s="119" t="s">
        <v>301</v>
      </c>
      <c r="B73" s="120" t="s">
        <v>404</v>
      </c>
      <c r="C73" s="120" t="s">
        <v>76</v>
      </c>
      <c r="D73" s="120" t="s">
        <v>93</v>
      </c>
      <c r="E73" s="130" t="s">
        <v>547</v>
      </c>
      <c r="F73" s="137">
        <v>200</v>
      </c>
      <c r="G73" s="121">
        <f>G74</f>
        <v>906.9</v>
      </c>
      <c r="H73" s="134">
        <f t="shared" ref="H73:H140" si="43">I73-G73</f>
        <v>300.00000000000011</v>
      </c>
      <c r="I73" s="121">
        <f>I74</f>
        <v>1206.9000000000001</v>
      </c>
      <c r="J73" s="121">
        <f t="shared" si="42"/>
        <v>943.678</v>
      </c>
      <c r="K73" s="121">
        <f>K74</f>
        <v>1206.9000000000001</v>
      </c>
      <c r="L73" s="121">
        <f t="shared" si="37"/>
        <v>100</v>
      </c>
    </row>
    <row r="74" spans="1:12" s="184" customFormat="1" ht="24">
      <c r="A74" s="119" t="s">
        <v>85</v>
      </c>
      <c r="B74" s="120" t="s">
        <v>404</v>
      </c>
      <c r="C74" s="120" t="s">
        <v>76</v>
      </c>
      <c r="D74" s="120" t="s">
        <v>93</v>
      </c>
      <c r="E74" s="130" t="s">
        <v>547</v>
      </c>
      <c r="F74" s="137">
        <v>240</v>
      </c>
      <c r="G74" s="121">
        <v>906.9</v>
      </c>
      <c r="H74" s="134">
        <f t="shared" si="43"/>
        <v>300.00000000000011</v>
      </c>
      <c r="I74" s="121">
        <f>906.9+300</f>
        <v>1206.9000000000001</v>
      </c>
      <c r="J74" s="121">
        <v>943.678</v>
      </c>
      <c r="K74" s="121">
        <f>906.9+300</f>
        <v>1206.9000000000001</v>
      </c>
      <c r="L74" s="121">
        <f t="shared" si="37"/>
        <v>100</v>
      </c>
    </row>
    <row r="75" spans="1:12" s="184" customFormat="1" ht="36">
      <c r="A75" s="141" t="s">
        <v>548</v>
      </c>
      <c r="B75" s="111" t="s">
        <v>404</v>
      </c>
      <c r="C75" s="111" t="s">
        <v>76</v>
      </c>
      <c r="D75" s="111" t="s">
        <v>93</v>
      </c>
      <c r="E75" s="142" t="s">
        <v>549</v>
      </c>
      <c r="F75" s="137"/>
      <c r="G75" s="112">
        <f>G76</f>
        <v>1540</v>
      </c>
      <c r="H75" s="134">
        <f t="shared" si="43"/>
        <v>0</v>
      </c>
      <c r="I75" s="112">
        <f>I76</f>
        <v>1540</v>
      </c>
      <c r="J75" s="112">
        <f t="shared" ref="J75:J76" si="44">J76</f>
        <v>502.36500000000001</v>
      </c>
      <c r="K75" s="112">
        <f>K76</f>
        <v>1540</v>
      </c>
      <c r="L75" s="112">
        <f t="shared" si="37"/>
        <v>100</v>
      </c>
    </row>
    <row r="76" spans="1:12" s="184" customFormat="1">
      <c r="A76" s="119" t="s">
        <v>301</v>
      </c>
      <c r="B76" s="120" t="s">
        <v>404</v>
      </c>
      <c r="C76" s="120" t="s">
        <v>76</v>
      </c>
      <c r="D76" s="120" t="s">
        <v>93</v>
      </c>
      <c r="E76" s="130" t="s">
        <v>549</v>
      </c>
      <c r="F76" s="137">
        <v>200</v>
      </c>
      <c r="G76" s="121">
        <f>G77</f>
        <v>1540</v>
      </c>
      <c r="H76" s="134">
        <f t="shared" si="43"/>
        <v>0</v>
      </c>
      <c r="I76" s="121">
        <f>I77</f>
        <v>1540</v>
      </c>
      <c r="J76" s="121">
        <f t="shared" si="44"/>
        <v>502.36500000000001</v>
      </c>
      <c r="K76" s="121">
        <f>K77</f>
        <v>1540</v>
      </c>
      <c r="L76" s="121">
        <f t="shared" si="37"/>
        <v>100</v>
      </c>
    </row>
    <row r="77" spans="1:12" s="184" customFormat="1" ht="24">
      <c r="A77" s="119" t="s">
        <v>85</v>
      </c>
      <c r="B77" s="120" t="s">
        <v>404</v>
      </c>
      <c r="C77" s="120" t="s">
        <v>76</v>
      </c>
      <c r="D77" s="120" t="s">
        <v>93</v>
      </c>
      <c r="E77" s="130" t="s">
        <v>549</v>
      </c>
      <c r="F77" s="137">
        <v>240</v>
      </c>
      <c r="G77" s="121">
        <v>1540</v>
      </c>
      <c r="H77" s="134">
        <f t="shared" si="43"/>
        <v>0</v>
      </c>
      <c r="I77" s="121">
        <v>1540</v>
      </c>
      <c r="J77" s="121">
        <v>502.36500000000001</v>
      </c>
      <c r="K77" s="121">
        <v>1540</v>
      </c>
      <c r="L77" s="121">
        <f t="shared" si="37"/>
        <v>100</v>
      </c>
    </row>
    <row r="78" spans="1:12" s="184" customFormat="1" ht="24">
      <c r="A78" s="141" t="s">
        <v>550</v>
      </c>
      <c r="B78" s="111" t="s">
        <v>404</v>
      </c>
      <c r="C78" s="111" t="s">
        <v>76</v>
      </c>
      <c r="D78" s="111" t="s">
        <v>93</v>
      </c>
      <c r="E78" s="142" t="s">
        <v>551</v>
      </c>
      <c r="F78" s="137"/>
      <c r="G78" s="112">
        <f>G79</f>
        <v>4164</v>
      </c>
      <c r="H78" s="134">
        <f t="shared" si="43"/>
        <v>-300</v>
      </c>
      <c r="I78" s="112">
        <f>I79</f>
        <v>3864</v>
      </c>
      <c r="J78" s="112">
        <f t="shared" ref="J78:J79" si="45">J79</f>
        <v>1999.4</v>
      </c>
      <c r="K78" s="112">
        <f>K79</f>
        <v>3864</v>
      </c>
      <c r="L78" s="112">
        <f t="shared" si="37"/>
        <v>100</v>
      </c>
    </row>
    <row r="79" spans="1:12" s="184" customFormat="1">
      <c r="A79" s="119" t="s">
        <v>301</v>
      </c>
      <c r="B79" s="120" t="s">
        <v>404</v>
      </c>
      <c r="C79" s="120" t="s">
        <v>76</v>
      </c>
      <c r="D79" s="120" t="s">
        <v>93</v>
      </c>
      <c r="E79" s="130" t="s">
        <v>551</v>
      </c>
      <c r="F79" s="137">
        <v>200</v>
      </c>
      <c r="G79" s="121">
        <f>G80</f>
        <v>4164</v>
      </c>
      <c r="H79" s="134">
        <f t="shared" si="43"/>
        <v>-300</v>
      </c>
      <c r="I79" s="121">
        <f>I80</f>
        <v>3864</v>
      </c>
      <c r="J79" s="121">
        <f t="shared" si="45"/>
        <v>1999.4</v>
      </c>
      <c r="K79" s="121">
        <f>K80</f>
        <v>3864</v>
      </c>
      <c r="L79" s="121">
        <f t="shared" si="37"/>
        <v>100</v>
      </c>
    </row>
    <row r="80" spans="1:12" s="184" customFormat="1" ht="24">
      <c r="A80" s="119" t="s">
        <v>85</v>
      </c>
      <c r="B80" s="120" t="s">
        <v>404</v>
      </c>
      <c r="C80" s="120" t="s">
        <v>76</v>
      </c>
      <c r="D80" s="120" t="s">
        <v>93</v>
      </c>
      <c r="E80" s="130" t="s">
        <v>551</v>
      </c>
      <c r="F80" s="137">
        <v>240</v>
      </c>
      <c r="G80" s="121">
        <v>4164</v>
      </c>
      <c r="H80" s="134">
        <f t="shared" si="43"/>
        <v>-300</v>
      </c>
      <c r="I80" s="121">
        <f>4164-300</f>
        <v>3864</v>
      </c>
      <c r="J80" s="121">
        <v>1999.4</v>
      </c>
      <c r="K80" s="121">
        <f>4164-300</f>
        <v>3864</v>
      </c>
      <c r="L80" s="121">
        <f t="shared" si="37"/>
        <v>100</v>
      </c>
    </row>
    <row r="81" spans="1:12" s="184" customFormat="1" ht="36">
      <c r="A81" s="141" t="s">
        <v>552</v>
      </c>
      <c r="B81" s="111" t="s">
        <v>404</v>
      </c>
      <c r="C81" s="111" t="s">
        <v>76</v>
      </c>
      <c r="D81" s="111" t="s">
        <v>93</v>
      </c>
      <c r="E81" s="142" t="s">
        <v>553</v>
      </c>
      <c r="F81" s="137"/>
      <c r="G81" s="112">
        <f>G82</f>
        <v>2650</v>
      </c>
      <c r="H81" s="134">
        <f t="shared" si="43"/>
        <v>0</v>
      </c>
      <c r="I81" s="112">
        <f>I82</f>
        <v>2650</v>
      </c>
      <c r="J81" s="112">
        <f t="shared" ref="J81:J82" si="46">J82</f>
        <v>1306.5</v>
      </c>
      <c r="K81" s="112">
        <f>K82</f>
        <v>2650</v>
      </c>
      <c r="L81" s="112">
        <f t="shared" si="37"/>
        <v>100</v>
      </c>
    </row>
    <row r="82" spans="1:12" s="184" customFormat="1">
      <c r="A82" s="119" t="s">
        <v>301</v>
      </c>
      <c r="B82" s="120" t="s">
        <v>404</v>
      </c>
      <c r="C82" s="120" t="s">
        <v>76</v>
      </c>
      <c r="D82" s="120" t="s">
        <v>93</v>
      </c>
      <c r="E82" s="130" t="s">
        <v>553</v>
      </c>
      <c r="F82" s="137">
        <v>200</v>
      </c>
      <c r="G82" s="121">
        <f>G83</f>
        <v>2650</v>
      </c>
      <c r="H82" s="134">
        <f t="shared" si="43"/>
        <v>0</v>
      </c>
      <c r="I82" s="121">
        <f>I83</f>
        <v>2650</v>
      </c>
      <c r="J82" s="121">
        <f t="shared" si="46"/>
        <v>1306.5</v>
      </c>
      <c r="K82" s="121">
        <f>K83</f>
        <v>2650</v>
      </c>
      <c r="L82" s="121">
        <f t="shared" si="37"/>
        <v>100</v>
      </c>
    </row>
    <row r="83" spans="1:12" s="184" customFormat="1" ht="24">
      <c r="A83" s="119" t="s">
        <v>85</v>
      </c>
      <c r="B83" s="120" t="s">
        <v>404</v>
      </c>
      <c r="C83" s="120" t="s">
        <v>76</v>
      </c>
      <c r="D83" s="120" t="s">
        <v>93</v>
      </c>
      <c r="E83" s="130" t="s">
        <v>553</v>
      </c>
      <c r="F83" s="137">
        <v>240</v>
      </c>
      <c r="G83" s="121">
        <v>2650</v>
      </c>
      <c r="H83" s="134">
        <f t="shared" si="43"/>
        <v>0</v>
      </c>
      <c r="I83" s="121">
        <v>2650</v>
      </c>
      <c r="J83" s="121">
        <v>1306.5</v>
      </c>
      <c r="K83" s="121">
        <v>2650</v>
      </c>
      <c r="L83" s="121">
        <f t="shared" si="37"/>
        <v>100</v>
      </c>
    </row>
    <row r="84" spans="1:12" s="184" customFormat="1" ht="24">
      <c r="A84" s="141" t="s">
        <v>252</v>
      </c>
      <c r="B84" s="111" t="s">
        <v>404</v>
      </c>
      <c r="C84" s="111" t="s">
        <v>76</v>
      </c>
      <c r="D84" s="111" t="s">
        <v>93</v>
      </c>
      <c r="E84" s="142" t="s">
        <v>554</v>
      </c>
      <c r="F84" s="137"/>
      <c r="G84" s="134">
        <f>G85</f>
        <v>800</v>
      </c>
      <c r="H84" s="134">
        <f t="shared" si="43"/>
        <v>0</v>
      </c>
      <c r="I84" s="134">
        <f>I85</f>
        <v>800</v>
      </c>
      <c r="J84" s="134">
        <f t="shared" ref="J84:J85" si="47">J85</f>
        <v>99.8</v>
      </c>
      <c r="K84" s="134">
        <f>K85</f>
        <v>800</v>
      </c>
      <c r="L84" s="134">
        <f t="shared" si="37"/>
        <v>100</v>
      </c>
    </row>
    <row r="85" spans="1:12" s="184" customFormat="1">
      <c r="A85" s="119" t="s">
        <v>301</v>
      </c>
      <c r="B85" s="120" t="s">
        <v>404</v>
      </c>
      <c r="C85" s="120" t="s">
        <v>76</v>
      </c>
      <c r="D85" s="120" t="s">
        <v>93</v>
      </c>
      <c r="E85" s="130" t="s">
        <v>554</v>
      </c>
      <c r="F85" s="137">
        <v>200</v>
      </c>
      <c r="G85" s="135">
        <f>G86</f>
        <v>800</v>
      </c>
      <c r="H85" s="134">
        <f t="shared" si="43"/>
        <v>0</v>
      </c>
      <c r="I85" s="135">
        <f>I86</f>
        <v>800</v>
      </c>
      <c r="J85" s="135">
        <f t="shared" si="47"/>
        <v>99.8</v>
      </c>
      <c r="K85" s="135">
        <f>K86</f>
        <v>800</v>
      </c>
      <c r="L85" s="135">
        <f t="shared" si="37"/>
        <v>100</v>
      </c>
    </row>
    <row r="86" spans="1:12" s="184" customFormat="1" ht="24">
      <c r="A86" s="119" t="s">
        <v>85</v>
      </c>
      <c r="B86" s="120" t="s">
        <v>404</v>
      </c>
      <c r="C86" s="120" t="s">
        <v>76</v>
      </c>
      <c r="D86" s="120" t="s">
        <v>93</v>
      </c>
      <c r="E86" s="130" t="s">
        <v>554</v>
      </c>
      <c r="F86" s="137">
        <v>240</v>
      </c>
      <c r="G86" s="135">
        <v>800</v>
      </c>
      <c r="H86" s="134">
        <f t="shared" si="43"/>
        <v>0</v>
      </c>
      <c r="I86" s="135">
        <v>800</v>
      </c>
      <c r="J86" s="135">
        <v>99.8</v>
      </c>
      <c r="K86" s="135">
        <v>800</v>
      </c>
      <c r="L86" s="135">
        <f t="shared" si="37"/>
        <v>100</v>
      </c>
    </row>
    <row r="87" spans="1:12" s="184" customFormat="1">
      <c r="A87" s="141" t="s">
        <v>253</v>
      </c>
      <c r="B87" s="111" t="s">
        <v>404</v>
      </c>
      <c r="C87" s="111" t="s">
        <v>76</v>
      </c>
      <c r="D87" s="111" t="s">
        <v>93</v>
      </c>
      <c r="E87" s="142" t="s">
        <v>555</v>
      </c>
      <c r="F87" s="137"/>
      <c r="G87" s="112">
        <f>G88</f>
        <v>500</v>
      </c>
      <c r="H87" s="134">
        <f t="shared" si="43"/>
        <v>0</v>
      </c>
      <c r="I87" s="112">
        <f>I88</f>
        <v>500</v>
      </c>
      <c r="J87" s="112">
        <f t="shared" ref="J87:J88" si="48">J88</f>
        <v>130.5</v>
      </c>
      <c r="K87" s="112">
        <f>K88</f>
        <v>500</v>
      </c>
      <c r="L87" s="112">
        <f t="shared" si="37"/>
        <v>100</v>
      </c>
    </row>
    <row r="88" spans="1:12" s="184" customFormat="1">
      <c r="A88" s="119" t="s">
        <v>301</v>
      </c>
      <c r="B88" s="120" t="s">
        <v>404</v>
      </c>
      <c r="C88" s="120" t="s">
        <v>76</v>
      </c>
      <c r="D88" s="120" t="s">
        <v>93</v>
      </c>
      <c r="E88" s="130" t="s">
        <v>555</v>
      </c>
      <c r="F88" s="137">
        <v>200</v>
      </c>
      <c r="G88" s="121">
        <f>G89</f>
        <v>500</v>
      </c>
      <c r="H88" s="134">
        <f t="shared" si="43"/>
        <v>0</v>
      </c>
      <c r="I88" s="121">
        <f>I89</f>
        <v>500</v>
      </c>
      <c r="J88" s="121">
        <f t="shared" si="48"/>
        <v>130.5</v>
      </c>
      <c r="K88" s="121">
        <f>K89</f>
        <v>500</v>
      </c>
      <c r="L88" s="121">
        <f t="shared" si="37"/>
        <v>100</v>
      </c>
    </row>
    <row r="89" spans="1:12" s="184" customFormat="1" ht="24">
      <c r="A89" s="119" t="s">
        <v>85</v>
      </c>
      <c r="B89" s="120" t="s">
        <v>404</v>
      </c>
      <c r="C89" s="120" t="s">
        <v>76</v>
      </c>
      <c r="D89" s="120" t="s">
        <v>93</v>
      </c>
      <c r="E89" s="130" t="s">
        <v>555</v>
      </c>
      <c r="F89" s="137">
        <v>240</v>
      </c>
      <c r="G89" s="121">
        <v>500</v>
      </c>
      <c r="H89" s="134">
        <f t="shared" si="43"/>
        <v>0</v>
      </c>
      <c r="I89" s="121">
        <v>500</v>
      </c>
      <c r="J89" s="121">
        <v>130.5</v>
      </c>
      <c r="K89" s="121">
        <v>500</v>
      </c>
      <c r="L89" s="121">
        <f t="shared" si="37"/>
        <v>100</v>
      </c>
    </row>
    <row r="90" spans="1:12" s="184" customFormat="1" ht="13.5">
      <c r="A90" s="123" t="s">
        <v>39</v>
      </c>
      <c r="B90" s="114" t="s">
        <v>404</v>
      </c>
      <c r="C90" s="114" t="s">
        <v>76</v>
      </c>
      <c r="D90" s="114" t="s">
        <v>93</v>
      </c>
      <c r="E90" s="149" t="s">
        <v>40</v>
      </c>
      <c r="F90" s="147"/>
      <c r="G90" s="115">
        <f>G91+G94</f>
        <v>2700</v>
      </c>
      <c r="H90" s="134">
        <f t="shared" si="43"/>
        <v>0</v>
      </c>
      <c r="I90" s="115">
        <f>I91+I94</f>
        <v>2700</v>
      </c>
      <c r="J90" s="230">
        <f t="shared" ref="J90" si="49">J91+J94</f>
        <v>0</v>
      </c>
      <c r="K90" s="115">
        <f>K91+K94</f>
        <v>2700</v>
      </c>
      <c r="L90" s="115">
        <f t="shared" si="37"/>
        <v>100</v>
      </c>
    </row>
    <row r="91" spans="1:12" s="184" customFormat="1">
      <c r="A91" s="110" t="s">
        <v>41</v>
      </c>
      <c r="B91" s="111" t="s">
        <v>404</v>
      </c>
      <c r="C91" s="111" t="s">
        <v>76</v>
      </c>
      <c r="D91" s="111" t="s">
        <v>93</v>
      </c>
      <c r="E91" s="111" t="s">
        <v>556</v>
      </c>
      <c r="F91" s="150"/>
      <c r="G91" s="112">
        <f>G92</f>
        <v>1000</v>
      </c>
      <c r="H91" s="134">
        <f t="shared" si="43"/>
        <v>0</v>
      </c>
      <c r="I91" s="112">
        <f>I92</f>
        <v>1000</v>
      </c>
      <c r="J91" s="228">
        <f t="shared" ref="J91:J92" si="50">J92</f>
        <v>0</v>
      </c>
      <c r="K91" s="112">
        <f>K92</f>
        <v>1000</v>
      </c>
      <c r="L91" s="112">
        <f t="shared" si="37"/>
        <v>100</v>
      </c>
    </row>
    <row r="92" spans="1:12" s="184" customFormat="1">
      <c r="A92" s="119" t="s">
        <v>301</v>
      </c>
      <c r="B92" s="120" t="s">
        <v>404</v>
      </c>
      <c r="C92" s="120" t="s">
        <v>76</v>
      </c>
      <c r="D92" s="120" t="s">
        <v>93</v>
      </c>
      <c r="E92" s="130" t="s">
        <v>556</v>
      </c>
      <c r="F92" s="137">
        <v>200</v>
      </c>
      <c r="G92" s="121">
        <f>G93</f>
        <v>1000</v>
      </c>
      <c r="H92" s="134">
        <f t="shared" si="43"/>
        <v>0</v>
      </c>
      <c r="I92" s="121">
        <f>I93</f>
        <v>1000</v>
      </c>
      <c r="J92" s="229">
        <f t="shared" si="50"/>
        <v>0</v>
      </c>
      <c r="K92" s="121">
        <f>K93</f>
        <v>1000</v>
      </c>
      <c r="L92" s="121">
        <f t="shared" si="37"/>
        <v>100</v>
      </c>
    </row>
    <row r="93" spans="1:12" s="184" customFormat="1" ht="24">
      <c r="A93" s="119" t="s">
        <v>85</v>
      </c>
      <c r="B93" s="120" t="s">
        <v>404</v>
      </c>
      <c r="C93" s="120" t="s">
        <v>76</v>
      </c>
      <c r="D93" s="120" t="s">
        <v>93</v>
      </c>
      <c r="E93" s="130" t="s">
        <v>556</v>
      </c>
      <c r="F93" s="137">
        <v>240</v>
      </c>
      <c r="G93" s="121">
        <v>1000</v>
      </c>
      <c r="H93" s="134">
        <f t="shared" si="43"/>
        <v>0</v>
      </c>
      <c r="I93" s="121">
        <v>1000</v>
      </c>
      <c r="J93" s="229">
        <v>0</v>
      </c>
      <c r="K93" s="121">
        <v>1000</v>
      </c>
      <c r="L93" s="121">
        <f t="shared" si="37"/>
        <v>100</v>
      </c>
    </row>
    <row r="94" spans="1:12" s="184" customFormat="1" ht="24">
      <c r="A94" s="110" t="s">
        <v>557</v>
      </c>
      <c r="B94" s="111" t="s">
        <v>404</v>
      </c>
      <c r="C94" s="111" t="s">
        <v>76</v>
      </c>
      <c r="D94" s="111" t="s">
        <v>93</v>
      </c>
      <c r="E94" s="142" t="s">
        <v>558</v>
      </c>
      <c r="F94" s="150"/>
      <c r="G94" s="112">
        <f>G95</f>
        <v>1700</v>
      </c>
      <c r="H94" s="134">
        <f t="shared" si="43"/>
        <v>0</v>
      </c>
      <c r="I94" s="112">
        <f>I95</f>
        <v>1700</v>
      </c>
      <c r="J94" s="228">
        <f t="shared" ref="J94:J95" si="51">J95</f>
        <v>0</v>
      </c>
      <c r="K94" s="112">
        <f>K95</f>
        <v>1700</v>
      </c>
      <c r="L94" s="112">
        <f t="shared" ref="L94:L96" si="52">K94/I94*100</f>
        <v>100</v>
      </c>
    </row>
    <row r="95" spans="1:12" s="184" customFormat="1">
      <c r="A95" s="119" t="s">
        <v>301</v>
      </c>
      <c r="B95" s="120" t="s">
        <v>404</v>
      </c>
      <c r="C95" s="120" t="s">
        <v>76</v>
      </c>
      <c r="D95" s="120" t="s">
        <v>93</v>
      </c>
      <c r="E95" s="130" t="s">
        <v>558</v>
      </c>
      <c r="F95" s="137">
        <v>200</v>
      </c>
      <c r="G95" s="121">
        <f>G96</f>
        <v>1700</v>
      </c>
      <c r="H95" s="134">
        <f t="shared" si="43"/>
        <v>0</v>
      </c>
      <c r="I95" s="121">
        <f>I96</f>
        <v>1700</v>
      </c>
      <c r="J95" s="229">
        <f t="shared" si="51"/>
        <v>0</v>
      </c>
      <c r="K95" s="121">
        <f>K96</f>
        <v>1700</v>
      </c>
      <c r="L95" s="121">
        <f t="shared" si="52"/>
        <v>100</v>
      </c>
    </row>
    <row r="96" spans="1:12" s="184" customFormat="1" ht="24">
      <c r="A96" s="119" t="s">
        <v>85</v>
      </c>
      <c r="B96" s="120" t="s">
        <v>404</v>
      </c>
      <c r="C96" s="120" t="s">
        <v>76</v>
      </c>
      <c r="D96" s="120" t="s">
        <v>93</v>
      </c>
      <c r="E96" s="130" t="s">
        <v>558</v>
      </c>
      <c r="F96" s="137">
        <v>240</v>
      </c>
      <c r="G96" s="121">
        <v>1700</v>
      </c>
      <c r="H96" s="134">
        <f t="shared" si="43"/>
        <v>0</v>
      </c>
      <c r="I96" s="121">
        <v>1700</v>
      </c>
      <c r="J96" s="229">
        <v>0</v>
      </c>
      <c r="K96" s="121">
        <v>1700</v>
      </c>
      <c r="L96" s="121">
        <f t="shared" si="52"/>
        <v>100</v>
      </c>
    </row>
    <row r="97" spans="1:12" s="183" customFormat="1" ht="24">
      <c r="A97" s="124" t="s">
        <v>297</v>
      </c>
      <c r="B97" s="125" t="s">
        <v>404</v>
      </c>
      <c r="C97" s="125" t="s">
        <v>76</v>
      </c>
      <c r="D97" s="125" t="s">
        <v>93</v>
      </c>
      <c r="E97" s="129" t="s">
        <v>238</v>
      </c>
      <c r="F97" s="151"/>
      <c r="G97" s="136">
        <f>G98</f>
        <v>1720</v>
      </c>
      <c r="H97" s="134">
        <f t="shared" si="43"/>
        <v>0</v>
      </c>
      <c r="I97" s="136">
        <f>I98</f>
        <v>1720</v>
      </c>
      <c r="J97" s="136">
        <f t="shared" ref="J97:J100" si="53">J98</f>
        <v>300.35000000000002</v>
      </c>
      <c r="K97" s="136">
        <f>K98</f>
        <v>860</v>
      </c>
      <c r="L97" s="136">
        <f t="shared" ref="L97:L111" si="54">K97/I97*100</f>
        <v>50</v>
      </c>
    </row>
    <row r="98" spans="1:12" s="183" customFormat="1" ht="36">
      <c r="A98" s="124" t="s">
        <v>559</v>
      </c>
      <c r="B98" s="125" t="s">
        <v>404</v>
      </c>
      <c r="C98" s="125" t="s">
        <v>76</v>
      </c>
      <c r="D98" s="125" t="s">
        <v>93</v>
      </c>
      <c r="E98" s="129" t="s">
        <v>560</v>
      </c>
      <c r="F98" s="151"/>
      <c r="G98" s="136">
        <f>G99</f>
        <v>1720</v>
      </c>
      <c r="H98" s="134">
        <f t="shared" si="43"/>
        <v>0</v>
      </c>
      <c r="I98" s="136">
        <f>I99</f>
        <v>1720</v>
      </c>
      <c r="J98" s="136">
        <f t="shared" si="53"/>
        <v>300.35000000000002</v>
      </c>
      <c r="K98" s="136">
        <f>K99</f>
        <v>860</v>
      </c>
      <c r="L98" s="136">
        <f t="shared" si="54"/>
        <v>50</v>
      </c>
    </row>
    <row r="99" spans="1:12" s="183" customFormat="1" ht="36">
      <c r="A99" s="110" t="s">
        <v>561</v>
      </c>
      <c r="B99" s="111" t="s">
        <v>404</v>
      </c>
      <c r="C99" s="111" t="s">
        <v>76</v>
      </c>
      <c r="D99" s="111" t="s">
        <v>93</v>
      </c>
      <c r="E99" s="142" t="s">
        <v>562</v>
      </c>
      <c r="F99" s="150"/>
      <c r="G99" s="134">
        <f>G100</f>
        <v>1720</v>
      </c>
      <c r="H99" s="134">
        <f t="shared" si="43"/>
        <v>0</v>
      </c>
      <c r="I99" s="134">
        <f>I100</f>
        <v>1720</v>
      </c>
      <c r="J99" s="134">
        <f t="shared" si="53"/>
        <v>300.35000000000002</v>
      </c>
      <c r="K99" s="134">
        <f>K100</f>
        <v>860</v>
      </c>
      <c r="L99" s="134">
        <f t="shared" si="54"/>
        <v>50</v>
      </c>
    </row>
    <row r="100" spans="1:12" s="183" customFormat="1">
      <c r="A100" s="119" t="s">
        <v>301</v>
      </c>
      <c r="B100" s="120" t="s">
        <v>404</v>
      </c>
      <c r="C100" s="120" t="s">
        <v>76</v>
      </c>
      <c r="D100" s="120" t="s">
        <v>93</v>
      </c>
      <c r="E100" s="130" t="s">
        <v>562</v>
      </c>
      <c r="F100" s="137">
        <v>200</v>
      </c>
      <c r="G100" s="135">
        <f>G101</f>
        <v>1720</v>
      </c>
      <c r="H100" s="134">
        <f t="shared" si="43"/>
        <v>0</v>
      </c>
      <c r="I100" s="135">
        <f>I101</f>
        <v>1720</v>
      </c>
      <c r="J100" s="135">
        <f t="shared" si="53"/>
        <v>300.35000000000002</v>
      </c>
      <c r="K100" s="135">
        <f>K101</f>
        <v>860</v>
      </c>
      <c r="L100" s="135">
        <f t="shared" si="54"/>
        <v>50</v>
      </c>
    </row>
    <row r="101" spans="1:12" s="183" customFormat="1" ht="24">
      <c r="A101" s="119" t="s">
        <v>85</v>
      </c>
      <c r="B101" s="120" t="s">
        <v>404</v>
      </c>
      <c r="C101" s="120" t="s">
        <v>76</v>
      </c>
      <c r="D101" s="120" t="s">
        <v>93</v>
      </c>
      <c r="E101" s="130" t="s">
        <v>562</v>
      </c>
      <c r="F101" s="137">
        <v>240</v>
      </c>
      <c r="G101" s="135">
        <v>1720</v>
      </c>
      <c r="H101" s="134">
        <f t="shared" si="43"/>
        <v>0</v>
      </c>
      <c r="I101" s="135">
        <v>1720</v>
      </c>
      <c r="J101" s="135">
        <v>300.35000000000002</v>
      </c>
      <c r="K101" s="135">
        <v>860</v>
      </c>
      <c r="L101" s="135">
        <f t="shared" si="54"/>
        <v>50</v>
      </c>
    </row>
    <row r="102" spans="1:12" s="183" customFormat="1" ht="24">
      <c r="A102" s="110" t="s">
        <v>320</v>
      </c>
      <c r="B102" s="111">
        <v>598</v>
      </c>
      <c r="C102" s="111" t="s">
        <v>483</v>
      </c>
      <c r="D102" s="111" t="s">
        <v>77</v>
      </c>
      <c r="E102" s="111"/>
      <c r="F102" s="111"/>
      <c r="G102" s="112">
        <f>G103</f>
        <v>5000</v>
      </c>
      <c r="H102" s="134">
        <f t="shared" si="43"/>
        <v>0</v>
      </c>
      <c r="I102" s="112">
        <f>I103</f>
        <v>5000</v>
      </c>
      <c r="J102" s="112">
        <f t="shared" ref="J102:J104" si="55">J103</f>
        <v>3096.9399999999996</v>
      </c>
      <c r="K102" s="112">
        <f>K103</f>
        <v>4000</v>
      </c>
      <c r="L102" s="112">
        <f t="shared" si="54"/>
        <v>80</v>
      </c>
    </row>
    <row r="103" spans="1:12" s="184" customFormat="1" ht="24">
      <c r="A103" s="110" t="s">
        <v>362</v>
      </c>
      <c r="B103" s="111" t="s">
        <v>404</v>
      </c>
      <c r="C103" s="111" t="s">
        <v>483</v>
      </c>
      <c r="D103" s="111" t="s">
        <v>484</v>
      </c>
      <c r="E103" s="111"/>
      <c r="F103" s="111"/>
      <c r="G103" s="112">
        <f>G104</f>
        <v>5000</v>
      </c>
      <c r="H103" s="134">
        <f t="shared" si="43"/>
        <v>0</v>
      </c>
      <c r="I103" s="112">
        <f>I104</f>
        <v>5000</v>
      </c>
      <c r="J103" s="112">
        <f t="shared" si="55"/>
        <v>3096.9399999999996</v>
      </c>
      <c r="K103" s="112">
        <f>K104</f>
        <v>4000</v>
      </c>
      <c r="L103" s="112">
        <f t="shared" si="54"/>
        <v>80</v>
      </c>
    </row>
    <row r="104" spans="1:12" s="184" customFormat="1">
      <c r="A104" s="124" t="s">
        <v>455</v>
      </c>
      <c r="B104" s="125">
        <v>598</v>
      </c>
      <c r="C104" s="125" t="s">
        <v>483</v>
      </c>
      <c r="D104" s="125" t="s">
        <v>484</v>
      </c>
      <c r="E104" s="125" t="s">
        <v>214</v>
      </c>
      <c r="F104" s="125"/>
      <c r="G104" s="126">
        <f>G105</f>
        <v>5000</v>
      </c>
      <c r="H104" s="134">
        <f t="shared" si="43"/>
        <v>0</v>
      </c>
      <c r="I104" s="126">
        <f>I105</f>
        <v>5000</v>
      </c>
      <c r="J104" s="126">
        <f t="shared" si="55"/>
        <v>3096.9399999999996</v>
      </c>
      <c r="K104" s="126">
        <f>K105</f>
        <v>4000</v>
      </c>
      <c r="L104" s="126">
        <f t="shared" si="54"/>
        <v>80</v>
      </c>
    </row>
    <row r="105" spans="1:12" s="184" customFormat="1">
      <c r="A105" s="110" t="s">
        <v>304</v>
      </c>
      <c r="B105" s="111">
        <v>598</v>
      </c>
      <c r="C105" s="111" t="s">
        <v>483</v>
      </c>
      <c r="D105" s="111" t="s">
        <v>484</v>
      </c>
      <c r="E105" s="111" t="s">
        <v>215</v>
      </c>
      <c r="F105" s="111"/>
      <c r="G105" s="112">
        <f>G109+G106</f>
        <v>5000</v>
      </c>
      <c r="H105" s="134">
        <f t="shared" si="43"/>
        <v>0</v>
      </c>
      <c r="I105" s="112">
        <f>I109+I106</f>
        <v>5000</v>
      </c>
      <c r="J105" s="112">
        <f t="shared" ref="J105" si="56">J109+J106</f>
        <v>3096.9399999999996</v>
      </c>
      <c r="K105" s="112">
        <f>K109+K106</f>
        <v>4000</v>
      </c>
      <c r="L105" s="112">
        <f t="shared" si="54"/>
        <v>80</v>
      </c>
    </row>
    <row r="106" spans="1:12" s="184" customFormat="1" ht="24">
      <c r="A106" s="110" t="s">
        <v>127</v>
      </c>
      <c r="B106" s="111">
        <v>598</v>
      </c>
      <c r="C106" s="111" t="s">
        <v>483</v>
      </c>
      <c r="D106" s="111" t="s">
        <v>484</v>
      </c>
      <c r="E106" s="111" t="s">
        <v>215</v>
      </c>
      <c r="F106" s="111"/>
      <c r="G106" s="112">
        <f>G107</f>
        <v>1000</v>
      </c>
      <c r="H106" s="134">
        <f t="shared" si="43"/>
        <v>0</v>
      </c>
      <c r="I106" s="112">
        <f>I107</f>
        <v>1000</v>
      </c>
      <c r="J106" s="228">
        <f t="shared" ref="J106:J107" si="57">J107</f>
        <v>0</v>
      </c>
      <c r="K106" s="134">
        <f>K107</f>
        <v>0</v>
      </c>
      <c r="L106" s="134">
        <f t="shared" si="54"/>
        <v>0</v>
      </c>
    </row>
    <row r="107" spans="1:12" s="184" customFormat="1">
      <c r="A107" s="119" t="s">
        <v>301</v>
      </c>
      <c r="B107" s="120" t="s">
        <v>404</v>
      </c>
      <c r="C107" s="120" t="s">
        <v>483</v>
      </c>
      <c r="D107" s="120" t="s">
        <v>484</v>
      </c>
      <c r="E107" s="120" t="s">
        <v>563</v>
      </c>
      <c r="F107" s="120" t="s">
        <v>84</v>
      </c>
      <c r="G107" s="121">
        <f>G108</f>
        <v>1000</v>
      </c>
      <c r="H107" s="134">
        <f t="shared" si="43"/>
        <v>0</v>
      </c>
      <c r="I107" s="121">
        <f>I108</f>
        <v>1000</v>
      </c>
      <c r="J107" s="229">
        <f t="shared" si="57"/>
        <v>0</v>
      </c>
      <c r="K107" s="135">
        <f>K108</f>
        <v>0</v>
      </c>
      <c r="L107" s="135">
        <f t="shared" si="54"/>
        <v>0</v>
      </c>
    </row>
    <row r="108" spans="1:12" s="184" customFormat="1" ht="24">
      <c r="A108" s="119" t="s">
        <v>85</v>
      </c>
      <c r="B108" s="120" t="s">
        <v>404</v>
      </c>
      <c r="C108" s="120" t="s">
        <v>483</v>
      </c>
      <c r="D108" s="120" t="s">
        <v>484</v>
      </c>
      <c r="E108" s="120" t="s">
        <v>563</v>
      </c>
      <c r="F108" s="120" t="s">
        <v>86</v>
      </c>
      <c r="G108" s="121">
        <v>1000</v>
      </c>
      <c r="H108" s="134">
        <f t="shared" si="43"/>
        <v>0</v>
      </c>
      <c r="I108" s="121">
        <v>1000</v>
      </c>
      <c r="J108" s="229">
        <v>0</v>
      </c>
      <c r="K108" s="135">
        <v>0</v>
      </c>
      <c r="L108" s="135">
        <f t="shared" si="54"/>
        <v>0</v>
      </c>
    </row>
    <row r="109" spans="1:12" s="184" customFormat="1" ht="24">
      <c r="A109" s="143" t="s">
        <v>485</v>
      </c>
      <c r="B109" s="139" t="s">
        <v>404</v>
      </c>
      <c r="C109" s="139" t="s">
        <v>483</v>
      </c>
      <c r="D109" s="139" t="s">
        <v>484</v>
      </c>
      <c r="E109" s="139" t="s">
        <v>215</v>
      </c>
      <c r="F109" s="139"/>
      <c r="G109" s="144">
        <f>G110</f>
        <v>4000</v>
      </c>
      <c r="H109" s="134">
        <f t="shared" si="43"/>
        <v>0</v>
      </c>
      <c r="I109" s="144">
        <f>I110</f>
        <v>4000</v>
      </c>
      <c r="J109" s="144">
        <f t="shared" ref="J109" si="58">J110</f>
        <v>3096.9399999999996</v>
      </c>
      <c r="K109" s="144">
        <f>K110</f>
        <v>4000</v>
      </c>
      <c r="L109" s="144">
        <f t="shared" si="54"/>
        <v>100</v>
      </c>
    </row>
    <row r="110" spans="1:12" s="184" customFormat="1">
      <c r="A110" s="110" t="s">
        <v>42</v>
      </c>
      <c r="B110" s="111" t="s">
        <v>404</v>
      </c>
      <c r="C110" s="111" t="s">
        <v>483</v>
      </c>
      <c r="D110" s="111" t="s">
        <v>484</v>
      </c>
      <c r="E110" s="111" t="s">
        <v>564</v>
      </c>
      <c r="F110" s="111"/>
      <c r="G110" s="112">
        <f>G111+G113+G115</f>
        <v>4000</v>
      </c>
      <c r="H110" s="134">
        <f t="shared" si="43"/>
        <v>0</v>
      </c>
      <c r="I110" s="112">
        <f>I111+I113+I115</f>
        <v>4000</v>
      </c>
      <c r="J110" s="112">
        <f t="shared" ref="J110" si="59">J111+J113+J115</f>
        <v>3096.9399999999996</v>
      </c>
      <c r="K110" s="112">
        <f>K111+K113+K115</f>
        <v>4000</v>
      </c>
      <c r="L110" s="112">
        <f t="shared" si="54"/>
        <v>100</v>
      </c>
    </row>
    <row r="111" spans="1:12" s="184" customFormat="1" ht="36">
      <c r="A111" s="119" t="s">
        <v>79</v>
      </c>
      <c r="B111" s="120" t="s">
        <v>404</v>
      </c>
      <c r="C111" s="120" t="s">
        <v>483</v>
      </c>
      <c r="D111" s="120" t="s">
        <v>484</v>
      </c>
      <c r="E111" s="120" t="s">
        <v>564</v>
      </c>
      <c r="F111" s="120" t="s">
        <v>80</v>
      </c>
      <c r="G111" s="121">
        <f>G112</f>
        <v>3514</v>
      </c>
      <c r="H111" s="134">
        <f t="shared" si="43"/>
        <v>0</v>
      </c>
      <c r="I111" s="121">
        <f>I112</f>
        <v>3514</v>
      </c>
      <c r="J111" s="121">
        <f t="shared" ref="J111" si="60">J112</f>
        <v>2918.2</v>
      </c>
      <c r="K111" s="121">
        <f>K112</f>
        <v>3514</v>
      </c>
      <c r="L111" s="121">
        <f t="shared" si="54"/>
        <v>100</v>
      </c>
    </row>
    <row r="112" spans="1:12" s="184" customFormat="1">
      <c r="A112" s="119" t="s">
        <v>486</v>
      </c>
      <c r="B112" s="120" t="s">
        <v>404</v>
      </c>
      <c r="C112" s="120" t="s">
        <v>483</v>
      </c>
      <c r="D112" s="120" t="s">
        <v>484</v>
      </c>
      <c r="E112" s="120" t="s">
        <v>564</v>
      </c>
      <c r="F112" s="120" t="s">
        <v>487</v>
      </c>
      <c r="G112" s="121">
        <f>2640+20+7+47+800</f>
        <v>3514</v>
      </c>
      <c r="H112" s="134">
        <f t="shared" si="43"/>
        <v>0</v>
      </c>
      <c r="I112" s="121">
        <f>2640+20+7+47+800</f>
        <v>3514</v>
      </c>
      <c r="J112" s="121">
        <v>2918.2</v>
      </c>
      <c r="K112" s="121">
        <f>2640+20+7+47+800</f>
        <v>3514</v>
      </c>
      <c r="L112" s="121">
        <f t="shared" ref="L112:L116" si="61">K112/I112*100</f>
        <v>100</v>
      </c>
    </row>
    <row r="113" spans="1:12" s="184" customFormat="1">
      <c r="A113" s="119" t="s">
        <v>301</v>
      </c>
      <c r="B113" s="120" t="s">
        <v>404</v>
      </c>
      <c r="C113" s="120" t="s">
        <v>483</v>
      </c>
      <c r="D113" s="120" t="s">
        <v>484</v>
      </c>
      <c r="E113" s="120" t="s">
        <v>564</v>
      </c>
      <c r="F113" s="120" t="s">
        <v>84</v>
      </c>
      <c r="G113" s="121">
        <f>G114</f>
        <v>475</v>
      </c>
      <c r="H113" s="134">
        <f t="shared" si="43"/>
        <v>0</v>
      </c>
      <c r="I113" s="121">
        <f>I114</f>
        <v>475</v>
      </c>
      <c r="J113" s="121">
        <f t="shared" ref="J113" si="62">J114</f>
        <v>178.74</v>
      </c>
      <c r="K113" s="121">
        <f>K114</f>
        <v>475</v>
      </c>
      <c r="L113" s="121">
        <f t="shared" si="61"/>
        <v>100</v>
      </c>
    </row>
    <row r="114" spans="1:12" s="184" customFormat="1" ht="24">
      <c r="A114" s="119" t="s">
        <v>85</v>
      </c>
      <c r="B114" s="120" t="s">
        <v>404</v>
      </c>
      <c r="C114" s="120" t="s">
        <v>483</v>
      </c>
      <c r="D114" s="120" t="s">
        <v>484</v>
      </c>
      <c r="E114" s="120" t="s">
        <v>564</v>
      </c>
      <c r="F114" s="120" t="s">
        <v>86</v>
      </c>
      <c r="G114" s="121">
        <f>175+185+70+45</f>
        <v>475</v>
      </c>
      <c r="H114" s="134">
        <f t="shared" si="43"/>
        <v>0</v>
      </c>
      <c r="I114" s="121">
        <f>175+185+70+45</f>
        <v>475</v>
      </c>
      <c r="J114" s="121">
        <v>178.74</v>
      </c>
      <c r="K114" s="121">
        <f>175+185+70+45</f>
        <v>475</v>
      </c>
      <c r="L114" s="121">
        <f t="shared" si="61"/>
        <v>100</v>
      </c>
    </row>
    <row r="115" spans="1:12" s="184" customFormat="1">
      <c r="A115" s="119" t="s">
        <v>87</v>
      </c>
      <c r="B115" s="120" t="s">
        <v>404</v>
      </c>
      <c r="C115" s="120" t="s">
        <v>483</v>
      </c>
      <c r="D115" s="120" t="s">
        <v>484</v>
      </c>
      <c r="E115" s="120" t="s">
        <v>564</v>
      </c>
      <c r="F115" s="120" t="s">
        <v>88</v>
      </c>
      <c r="G115" s="121">
        <f>G116</f>
        <v>11</v>
      </c>
      <c r="H115" s="134">
        <f t="shared" si="43"/>
        <v>0</v>
      </c>
      <c r="I115" s="121">
        <f>I116</f>
        <v>11</v>
      </c>
      <c r="J115" s="135">
        <f t="shared" ref="J115" si="63">J116</f>
        <v>0</v>
      </c>
      <c r="K115" s="121">
        <f>K116</f>
        <v>11</v>
      </c>
      <c r="L115" s="121">
        <f t="shared" si="61"/>
        <v>100</v>
      </c>
    </row>
    <row r="116" spans="1:12" s="184" customFormat="1">
      <c r="A116" s="119" t="s">
        <v>155</v>
      </c>
      <c r="B116" s="120" t="s">
        <v>404</v>
      </c>
      <c r="C116" s="120" t="s">
        <v>483</v>
      </c>
      <c r="D116" s="120" t="s">
        <v>484</v>
      </c>
      <c r="E116" s="120" t="s">
        <v>564</v>
      </c>
      <c r="F116" s="120" t="s">
        <v>89</v>
      </c>
      <c r="G116" s="121">
        <v>11</v>
      </c>
      <c r="H116" s="134">
        <f t="shared" si="43"/>
        <v>0</v>
      </c>
      <c r="I116" s="121">
        <v>11</v>
      </c>
      <c r="J116" s="229">
        <v>0</v>
      </c>
      <c r="K116" s="121">
        <v>11</v>
      </c>
      <c r="L116" s="121">
        <f t="shared" si="61"/>
        <v>100</v>
      </c>
    </row>
    <row r="117" spans="1:12" s="184" customFormat="1">
      <c r="A117" s="110" t="s">
        <v>363</v>
      </c>
      <c r="B117" s="111" t="s">
        <v>404</v>
      </c>
      <c r="C117" s="111" t="s">
        <v>78</v>
      </c>
      <c r="D117" s="111" t="s">
        <v>77</v>
      </c>
      <c r="E117" s="111"/>
      <c r="F117" s="111"/>
      <c r="G117" s="112" t="e">
        <f>G122</f>
        <v>#REF!</v>
      </c>
      <c r="H117" s="134" t="e">
        <f t="shared" si="43"/>
        <v>#REF!</v>
      </c>
      <c r="I117" s="112">
        <f>I122+I118</f>
        <v>8096.0209999999997</v>
      </c>
      <c r="J117" s="112">
        <f t="shared" ref="J117" si="64">J122+J118</f>
        <v>2069.797</v>
      </c>
      <c r="K117" s="112">
        <f>K122+K118</f>
        <v>8036.0209999999997</v>
      </c>
      <c r="L117" s="112">
        <f t="shared" ref="L117:L124" si="65">K117/I117*100</f>
        <v>99.25889520296451</v>
      </c>
    </row>
    <row r="118" spans="1:12" s="184" customFormat="1">
      <c r="A118" s="110" t="s">
        <v>746</v>
      </c>
      <c r="B118" s="111" t="s">
        <v>404</v>
      </c>
      <c r="C118" s="111" t="s">
        <v>78</v>
      </c>
      <c r="D118" s="111" t="s">
        <v>76</v>
      </c>
      <c r="E118" s="111"/>
      <c r="F118" s="111"/>
      <c r="G118" s="112"/>
      <c r="H118" s="134"/>
      <c r="I118" s="112">
        <f>I119</f>
        <v>836.02099999999996</v>
      </c>
      <c r="J118" s="112">
        <f t="shared" ref="J118:J120" si="66">J119</f>
        <v>819.8</v>
      </c>
      <c r="K118" s="112">
        <f>K119</f>
        <v>836.02099999999996</v>
      </c>
      <c r="L118" s="112">
        <f t="shared" si="65"/>
        <v>100</v>
      </c>
    </row>
    <row r="119" spans="1:12" s="184" customFormat="1" ht="24">
      <c r="A119" s="110" t="s">
        <v>747</v>
      </c>
      <c r="B119" s="111" t="s">
        <v>404</v>
      </c>
      <c r="C119" s="111" t="s">
        <v>78</v>
      </c>
      <c r="D119" s="111" t="s">
        <v>76</v>
      </c>
      <c r="E119" s="111" t="s">
        <v>748</v>
      </c>
      <c r="F119" s="111"/>
      <c r="G119" s="112"/>
      <c r="H119" s="134"/>
      <c r="I119" s="112">
        <f>I120</f>
        <v>836.02099999999996</v>
      </c>
      <c r="J119" s="112">
        <f t="shared" si="66"/>
        <v>819.8</v>
      </c>
      <c r="K119" s="112">
        <f>K120</f>
        <v>836.02099999999996</v>
      </c>
      <c r="L119" s="112">
        <f t="shared" si="65"/>
        <v>100</v>
      </c>
    </row>
    <row r="120" spans="1:12" s="184" customFormat="1" ht="36">
      <c r="A120" s="119" t="s">
        <v>79</v>
      </c>
      <c r="B120" s="120" t="s">
        <v>404</v>
      </c>
      <c r="C120" s="120" t="s">
        <v>78</v>
      </c>
      <c r="D120" s="120" t="s">
        <v>76</v>
      </c>
      <c r="E120" s="120" t="s">
        <v>748</v>
      </c>
      <c r="F120" s="120" t="s">
        <v>80</v>
      </c>
      <c r="G120" s="112"/>
      <c r="H120" s="134"/>
      <c r="I120" s="121">
        <f>I121</f>
        <v>836.02099999999996</v>
      </c>
      <c r="J120" s="121">
        <f t="shared" si="66"/>
        <v>819.8</v>
      </c>
      <c r="K120" s="121">
        <f>K121</f>
        <v>836.02099999999996</v>
      </c>
      <c r="L120" s="121">
        <f t="shared" si="65"/>
        <v>100</v>
      </c>
    </row>
    <row r="121" spans="1:12" s="184" customFormat="1">
      <c r="A121" s="119" t="s">
        <v>81</v>
      </c>
      <c r="B121" s="120" t="s">
        <v>404</v>
      </c>
      <c r="C121" s="120" t="s">
        <v>78</v>
      </c>
      <c r="D121" s="120" t="s">
        <v>76</v>
      </c>
      <c r="E121" s="120" t="s">
        <v>748</v>
      </c>
      <c r="F121" s="120" t="s">
        <v>82</v>
      </c>
      <c r="G121" s="112"/>
      <c r="H121" s="134"/>
      <c r="I121" s="121">
        <v>836.02099999999996</v>
      </c>
      <c r="J121" s="121">
        <v>819.8</v>
      </c>
      <c r="K121" s="121">
        <v>836.02099999999996</v>
      </c>
      <c r="L121" s="121">
        <f t="shared" si="65"/>
        <v>100</v>
      </c>
    </row>
    <row r="122" spans="1:12" s="184" customFormat="1">
      <c r="A122" s="110" t="s">
        <v>405</v>
      </c>
      <c r="B122" s="111" t="s">
        <v>404</v>
      </c>
      <c r="C122" s="111" t="s">
        <v>78</v>
      </c>
      <c r="D122" s="111" t="s">
        <v>489</v>
      </c>
      <c r="E122" s="130"/>
      <c r="F122" s="120"/>
      <c r="G122" s="112" t="e">
        <f>G123+G139</f>
        <v>#REF!</v>
      </c>
      <c r="H122" s="134" t="e">
        <f t="shared" si="43"/>
        <v>#REF!</v>
      </c>
      <c r="I122" s="112">
        <f>I123+I139</f>
        <v>7260</v>
      </c>
      <c r="J122" s="112">
        <f t="shared" ref="J122" si="67">J123+J139</f>
        <v>1249.9970000000001</v>
      </c>
      <c r="K122" s="112">
        <f>K123+K139</f>
        <v>7200</v>
      </c>
      <c r="L122" s="112">
        <f t="shared" si="65"/>
        <v>99.173553719008268</v>
      </c>
    </row>
    <row r="123" spans="1:12" s="184" customFormat="1" ht="40.5">
      <c r="A123" s="123" t="s">
        <v>565</v>
      </c>
      <c r="B123" s="114" t="s">
        <v>404</v>
      </c>
      <c r="C123" s="114" t="s">
        <v>78</v>
      </c>
      <c r="D123" s="114" t="s">
        <v>489</v>
      </c>
      <c r="E123" s="114" t="s">
        <v>219</v>
      </c>
      <c r="F123" s="114"/>
      <c r="G123" s="152">
        <f>G124+G127+G130+G133+G136</f>
        <v>1500</v>
      </c>
      <c r="H123" s="134">
        <f t="shared" si="43"/>
        <v>-240</v>
      </c>
      <c r="I123" s="152">
        <f>I124+I127+I130+I133+I136</f>
        <v>1260</v>
      </c>
      <c r="J123" s="152">
        <f t="shared" ref="J123" si="68">J124+J127+J130+J133+J136</f>
        <v>0</v>
      </c>
      <c r="K123" s="152">
        <f>K124+K127+K130+K133+K136</f>
        <v>1200</v>
      </c>
      <c r="L123" s="152">
        <f t="shared" si="65"/>
        <v>95.238095238095227</v>
      </c>
    </row>
    <row r="124" spans="1:12" s="184" customFormat="1" ht="48">
      <c r="A124" s="153" t="s">
        <v>566</v>
      </c>
      <c r="B124" s="111" t="s">
        <v>404</v>
      </c>
      <c r="C124" s="111" t="s">
        <v>78</v>
      </c>
      <c r="D124" s="111" t="s">
        <v>489</v>
      </c>
      <c r="E124" s="111" t="s">
        <v>567</v>
      </c>
      <c r="F124" s="111"/>
      <c r="G124" s="154">
        <f>G125</f>
        <v>200</v>
      </c>
      <c r="H124" s="134">
        <f t="shared" si="43"/>
        <v>0</v>
      </c>
      <c r="I124" s="154">
        <f>I125</f>
        <v>200</v>
      </c>
      <c r="J124" s="154">
        <f t="shared" ref="J124:J125" si="69">J125</f>
        <v>0</v>
      </c>
      <c r="K124" s="154">
        <f>K125</f>
        <v>200</v>
      </c>
      <c r="L124" s="154">
        <f t="shared" si="65"/>
        <v>100</v>
      </c>
    </row>
    <row r="125" spans="1:12" s="184" customFormat="1">
      <c r="A125" s="119" t="s">
        <v>301</v>
      </c>
      <c r="B125" s="120" t="s">
        <v>404</v>
      </c>
      <c r="C125" s="120" t="s">
        <v>78</v>
      </c>
      <c r="D125" s="120" t="s">
        <v>489</v>
      </c>
      <c r="E125" s="120" t="s">
        <v>567</v>
      </c>
      <c r="F125" s="120" t="s">
        <v>84</v>
      </c>
      <c r="G125" s="155">
        <f>G126</f>
        <v>200</v>
      </c>
      <c r="H125" s="134">
        <f t="shared" si="43"/>
        <v>0</v>
      </c>
      <c r="I125" s="155">
        <f>I126</f>
        <v>200</v>
      </c>
      <c r="J125" s="155">
        <f t="shared" si="69"/>
        <v>0</v>
      </c>
      <c r="K125" s="155">
        <f>K126</f>
        <v>200</v>
      </c>
      <c r="L125" s="155">
        <f t="shared" ref="L125:L138" si="70">K125/I125*100</f>
        <v>100</v>
      </c>
    </row>
    <row r="126" spans="1:12" s="184" customFormat="1" ht="24">
      <c r="A126" s="119" t="s">
        <v>85</v>
      </c>
      <c r="B126" s="137">
        <v>598</v>
      </c>
      <c r="C126" s="120" t="s">
        <v>78</v>
      </c>
      <c r="D126" s="120" t="s">
        <v>489</v>
      </c>
      <c r="E126" s="120" t="s">
        <v>567</v>
      </c>
      <c r="F126" s="120" t="s">
        <v>86</v>
      </c>
      <c r="G126" s="155">
        <v>200</v>
      </c>
      <c r="H126" s="134">
        <f t="shared" si="43"/>
        <v>0</v>
      </c>
      <c r="I126" s="155">
        <v>200</v>
      </c>
      <c r="J126" s="155">
        <v>0</v>
      </c>
      <c r="K126" s="155">
        <v>200</v>
      </c>
      <c r="L126" s="155">
        <f t="shared" si="70"/>
        <v>100</v>
      </c>
    </row>
    <row r="127" spans="1:12" s="184" customFormat="1" ht="60">
      <c r="A127" s="153" t="s">
        <v>743</v>
      </c>
      <c r="B127" s="111" t="s">
        <v>404</v>
      </c>
      <c r="C127" s="111" t="s">
        <v>78</v>
      </c>
      <c r="D127" s="111" t="s">
        <v>489</v>
      </c>
      <c r="E127" s="111" t="s">
        <v>568</v>
      </c>
      <c r="F127" s="111"/>
      <c r="G127" s="154">
        <f>G128</f>
        <v>300</v>
      </c>
      <c r="H127" s="134">
        <f t="shared" si="43"/>
        <v>0</v>
      </c>
      <c r="I127" s="154">
        <f>I128</f>
        <v>300</v>
      </c>
      <c r="J127" s="154">
        <f t="shared" ref="J127:J128" si="71">J128</f>
        <v>0</v>
      </c>
      <c r="K127" s="154">
        <f>K128</f>
        <v>300</v>
      </c>
      <c r="L127" s="154">
        <f t="shared" si="70"/>
        <v>100</v>
      </c>
    </row>
    <row r="128" spans="1:12" s="184" customFormat="1">
      <c r="A128" s="119" t="s">
        <v>301</v>
      </c>
      <c r="B128" s="120" t="s">
        <v>404</v>
      </c>
      <c r="C128" s="120" t="s">
        <v>78</v>
      </c>
      <c r="D128" s="120" t="s">
        <v>489</v>
      </c>
      <c r="E128" s="120" t="s">
        <v>568</v>
      </c>
      <c r="F128" s="120" t="s">
        <v>84</v>
      </c>
      <c r="G128" s="155">
        <f>G129</f>
        <v>300</v>
      </c>
      <c r="H128" s="134">
        <f t="shared" si="43"/>
        <v>0</v>
      </c>
      <c r="I128" s="155">
        <f>I129</f>
        <v>300</v>
      </c>
      <c r="J128" s="155">
        <f t="shared" si="71"/>
        <v>0</v>
      </c>
      <c r="K128" s="155">
        <f>K129</f>
        <v>300</v>
      </c>
      <c r="L128" s="155">
        <f t="shared" si="70"/>
        <v>100</v>
      </c>
    </row>
    <row r="129" spans="1:12" s="184" customFormat="1" ht="24">
      <c r="A129" s="119" t="s">
        <v>85</v>
      </c>
      <c r="B129" s="137">
        <v>598</v>
      </c>
      <c r="C129" s="120" t="s">
        <v>78</v>
      </c>
      <c r="D129" s="120" t="s">
        <v>489</v>
      </c>
      <c r="E129" s="120" t="s">
        <v>568</v>
      </c>
      <c r="F129" s="120" t="s">
        <v>86</v>
      </c>
      <c r="G129" s="155">
        <v>300</v>
      </c>
      <c r="H129" s="134">
        <f t="shared" si="43"/>
        <v>0</v>
      </c>
      <c r="I129" s="155">
        <v>300</v>
      </c>
      <c r="J129" s="155">
        <v>0</v>
      </c>
      <c r="K129" s="155">
        <v>300</v>
      </c>
      <c r="L129" s="155">
        <f t="shared" si="70"/>
        <v>100</v>
      </c>
    </row>
    <row r="130" spans="1:12" s="184" customFormat="1" ht="36">
      <c r="A130" s="110" t="s">
        <v>569</v>
      </c>
      <c r="B130" s="111" t="s">
        <v>404</v>
      </c>
      <c r="C130" s="111" t="s">
        <v>78</v>
      </c>
      <c r="D130" s="111" t="s">
        <v>489</v>
      </c>
      <c r="E130" s="111" t="s">
        <v>570</v>
      </c>
      <c r="F130" s="111"/>
      <c r="G130" s="154">
        <f>G131</f>
        <v>300</v>
      </c>
      <c r="H130" s="134">
        <f t="shared" si="43"/>
        <v>0</v>
      </c>
      <c r="I130" s="154">
        <f>I131</f>
        <v>300</v>
      </c>
      <c r="J130" s="154">
        <f t="shared" ref="J130:J131" si="72">J131</f>
        <v>0</v>
      </c>
      <c r="K130" s="154">
        <f>K131</f>
        <v>300</v>
      </c>
      <c r="L130" s="154">
        <f t="shared" si="70"/>
        <v>100</v>
      </c>
    </row>
    <row r="131" spans="1:12" s="184" customFormat="1">
      <c r="A131" s="119" t="s">
        <v>301</v>
      </c>
      <c r="B131" s="120" t="s">
        <v>404</v>
      </c>
      <c r="C131" s="120" t="s">
        <v>78</v>
      </c>
      <c r="D131" s="120" t="s">
        <v>489</v>
      </c>
      <c r="E131" s="120" t="s">
        <v>570</v>
      </c>
      <c r="F131" s="120" t="s">
        <v>84</v>
      </c>
      <c r="G131" s="155">
        <f>G132</f>
        <v>300</v>
      </c>
      <c r="H131" s="134">
        <f t="shared" si="43"/>
        <v>0</v>
      </c>
      <c r="I131" s="155">
        <f>I132</f>
        <v>300</v>
      </c>
      <c r="J131" s="155">
        <f t="shared" si="72"/>
        <v>0</v>
      </c>
      <c r="K131" s="155">
        <f>K132</f>
        <v>300</v>
      </c>
      <c r="L131" s="155">
        <f t="shared" si="70"/>
        <v>100</v>
      </c>
    </row>
    <row r="132" spans="1:12" s="184" customFormat="1" ht="24">
      <c r="A132" s="119" t="s">
        <v>85</v>
      </c>
      <c r="B132" s="137">
        <v>598</v>
      </c>
      <c r="C132" s="120" t="s">
        <v>78</v>
      </c>
      <c r="D132" s="120" t="s">
        <v>489</v>
      </c>
      <c r="E132" s="120" t="s">
        <v>570</v>
      </c>
      <c r="F132" s="120" t="s">
        <v>86</v>
      </c>
      <c r="G132" s="155">
        <v>300</v>
      </c>
      <c r="H132" s="134">
        <f t="shared" si="43"/>
        <v>0</v>
      </c>
      <c r="I132" s="155">
        <v>300</v>
      </c>
      <c r="J132" s="155">
        <v>0</v>
      </c>
      <c r="K132" s="155">
        <v>300</v>
      </c>
      <c r="L132" s="155">
        <f t="shared" si="70"/>
        <v>100</v>
      </c>
    </row>
    <row r="133" spans="1:12" s="184" customFormat="1" ht="36">
      <c r="A133" s="110" t="s">
        <v>497</v>
      </c>
      <c r="B133" s="111" t="s">
        <v>404</v>
      </c>
      <c r="C133" s="111" t="s">
        <v>78</v>
      </c>
      <c r="D133" s="111" t="s">
        <v>489</v>
      </c>
      <c r="E133" s="111" t="s">
        <v>571</v>
      </c>
      <c r="F133" s="111"/>
      <c r="G133" s="154">
        <f>G134</f>
        <v>400</v>
      </c>
      <c r="H133" s="134">
        <f t="shared" si="43"/>
        <v>0</v>
      </c>
      <c r="I133" s="154">
        <f>I134</f>
        <v>400</v>
      </c>
      <c r="J133" s="154">
        <f t="shared" ref="J133:J134" si="73">J134</f>
        <v>0</v>
      </c>
      <c r="K133" s="154">
        <f>K134</f>
        <v>400</v>
      </c>
      <c r="L133" s="154">
        <f t="shared" si="70"/>
        <v>100</v>
      </c>
    </row>
    <row r="134" spans="1:12" s="184" customFormat="1">
      <c r="A134" s="119" t="s">
        <v>301</v>
      </c>
      <c r="B134" s="120" t="s">
        <v>404</v>
      </c>
      <c r="C134" s="120" t="s">
        <v>78</v>
      </c>
      <c r="D134" s="120" t="s">
        <v>489</v>
      </c>
      <c r="E134" s="120" t="s">
        <v>571</v>
      </c>
      <c r="F134" s="120" t="s">
        <v>84</v>
      </c>
      <c r="G134" s="155">
        <f>G135</f>
        <v>400</v>
      </c>
      <c r="H134" s="134">
        <f t="shared" si="43"/>
        <v>0</v>
      </c>
      <c r="I134" s="155">
        <f>I135</f>
        <v>400</v>
      </c>
      <c r="J134" s="155">
        <f t="shared" si="73"/>
        <v>0</v>
      </c>
      <c r="K134" s="155">
        <f>K135</f>
        <v>400</v>
      </c>
      <c r="L134" s="155">
        <f t="shared" si="70"/>
        <v>100</v>
      </c>
    </row>
    <row r="135" spans="1:12" s="184" customFormat="1" ht="24">
      <c r="A135" s="119" t="s">
        <v>85</v>
      </c>
      <c r="B135" s="137">
        <v>598</v>
      </c>
      <c r="C135" s="120" t="s">
        <v>78</v>
      </c>
      <c r="D135" s="120" t="s">
        <v>489</v>
      </c>
      <c r="E135" s="120" t="s">
        <v>571</v>
      </c>
      <c r="F135" s="120" t="s">
        <v>86</v>
      </c>
      <c r="G135" s="155">
        <v>400</v>
      </c>
      <c r="H135" s="134">
        <f t="shared" si="43"/>
        <v>0</v>
      </c>
      <c r="I135" s="155">
        <v>400</v>
      </c>
      <c r="J135" s="155">
        <v>0</v>
      </c>
      <c r="K135" s="155">
        <v>400</v>
      </c>
      <c r="L135" s="155">
        <f t="shared" si="70"/>
        <v>100</v>
      </c>
    </row>
    <row r="136" spans="1:12" s="184" customFormat="1" ht="36">
      <c r="A136" s="110" t="s">
        <v>572</v>
      </c>
      <c r="B136" s="111" t="s">
        <v>404</v>
      </c>
      <c r="C136" s="111" t="s">
        <v>78</v>
      </c>
      <c r="D136" s="111" t="s">
        <v>489</v>
      </c>
      <c r="E136" s="111" t="s">
        <v>573</v>
      </c>
      <c r="F136" s="111"/>
      <c r="G136" s="154">
        <f>G137</f>
        <v>300</v>
      </c>
      <c r="H136" s="134">
        <f t="shared" si="43"/>
        <v>-240</v>
      </c>
      <c r="I136" s="154">
        <f>I137</f>
        <v>60</v>
      </c>
      <c r="J136" s="154">
        <f t="shared" ref="J136:J137" si="74">J137</f>
        <v>0</v>
      </c>
      <c r="K136" s="154">
        <f>K137</f>
        <v>0</v>
      </c>
      <c r="L136" s="154">
        <f t="shared" si="70"/>
        <v>0</v>
      </c>
    </row>
    <row r="137" spans="1:12" s="184" customFormat="1">
      <c r="A137" s="119" t="s">
        <v>301</v>
      </c>
      <c r="B137" s="120" t="s">
        <v>404</v>
      </c>
      <c r="C137" s="120" t="s">
        <v>78</v>
      </c>
      <c r="D137" s="120" t="s">
        <v>489</v>
      </c>
      <c r="E137" s="120" t="s">
        <v>573</v>
      </c>
      <c r="F137" s="120" t="s">
        <v>84</v>
      </c>
      <c r="G137" s="155">
        <f>G138</f>
        <v>300</v>
      </c>
      <c r="H137" s="134">
        <f t="shared" si="43"/>
        <v>-240</v>
      </c>
      <c r="I137" s="155">
        <f>I138</f>
        <v>60</v>
      </c>
      <c r="J137" s="155">
        <f t="shared" si="74"/>
        <v>0</v>
      </c>
      <c r="K137" s="155">
        <f>K138</f>
        <v>0</v>
      </c>
      <c r="L137" s="154">
        <f t="shared" si="70"/>
        <v>0</v>
      </c>
    </row>
    <row r="138" spans="1:12" s="184" customFormat="1" ht="24">
      <c r="A138" s="119" t="s">
        <v>85</v>
      </c>
      <c r="B138" s="137">
        <v>598</v>
      </c>
      <c r="C138" s="120" t="s">
        <v>78</v>
      </c>
      <c r="D138" s="120" t="s">
        <v>489</v>
      </c>
      <c r="E138" s="120" t="s">
        <v>573</v>
      </c>
      <c r="F138" s="120" t="s">
        <v>86</v>
      </c>
      <c r="G138" s="155">
        <v>300</v>
      </c>
      <c r="H138" s="134">
        <f t="shared" si="43"/>
        <v>-240</v>
      </c>
      <c r="I138" s="155">
        <f>300-240</f>
        <v>60</v>
      </c>
      <c r="J138" s="155">
        <v>0</v>
      </c>
      <c r="K138" s="155">
        <v>0</v>
      </c>
      <c r="L138" s="154">
        <f t="shared" si="70"/>
        <v>0</v>
      </c>
    </row>
    <row r="139" spans="1:12" s="184" customFormat="1">
      <c r="A139" s="145" t="s">
        <v>74</v>
      </c>
      <c r="B139" s="125" t="s">
        <v>404</v>
      </c>
      <c r="C139" s="125" t="s">
        <v>78</v>
      </c>
      <c r="D139" s="125" t="s">
        <v>489</v>
      </c>
      <c r="E139" s="125" t="s">
        <v>214</v>
      </c>
      <c r="F139" s="125"/>
      <c r="G139" s="126" t="e">
        <f>G140</f>
        <v>#REF!</v>
      </c>
      <c r="H139" s="134" t="e">
        <f t="shared" si="43"/>
        <v>#REF!</v>
      </c>
      <c r="I139" s="126">
        <f>I140</f>
        <v>6000</v>
      </c>
      <c r="J139" s="126">
        <f t="shared" ref="J139" si="75">J140</f>
        <v>1249.9970000000001</v>
      </c>
      <c r="K139" s="126">
        <f>K140</f>
        <v>6000</v>
      </c>
      <c r="L139" s="126">
        <f>K139/I139*100</f>
        <v>100</v>
      </c>
    </row>
    <row r="140" spans="1:12" s="184" customFormat="1">
      <c r="A140" s="110" t="s">
        <v>304</v>
      </c>
      <c r="B140" s="150">
        <v>598</v>
      </c>
      <c r="C140" s="111" t="s">
        <v>78</v>
      </c>
      <c r="D140" s="111" t="s">
        <v>489</v>
      </c>
      <c r="E140" s="111" t="s">
        <v>215</v>
      </c>
      <c r="F140" s="111"/>
      <c r="G140" s="112" t="e">
        <f>G141+#REF!</f>
        <v>#REF!</v>
      </c>
      <c r="H140" s="134" t="e">
        <f t="shared" si="43"/>
        <v>#REF!</v>
      </c>
      <c r="I140" s="112">
        <f>I141+I144</f>
        <v>6000</v>
      </c>
      <c r="J140" s="112">
        <f t="shared" ref="J140" si="76">J141+J144</f>
        <v>1249.9970000000001</v>
      </c>
      <c r="K140" s="112">
        <f>K141+K144</f>
        <v>6000</v>
      </c>
      <c r="L140" s="112">
        <f>K140/I140*100</f>
        <v>100</v>
      </c>
    </row>
    <row r="141" spans="1:12" s="184" customFormat="1" ht="24">
      <c r="A141" s="110" t="s">
        <v>498</v>
      </c>
      <c r="B141" s="150">
        <v>598</v>
      </c>
      <c r="C141" s="111" t="s">
        <v>78</v>
      </c>
      <c r="D141" s="111" t="s">
        <v>489</v>
      </c>
      <c r="E141" s="111" t="s">
        <v>574</v>
      </c>
      <c r="F141" s="111"/>
      <c r="G141" s="134">
        <f>G142</f>
        <v>1000</v>
      </c>
      <c r="H141" s="134">
        <f t="shared" ref="H141:H209" si="77">I141-G141</f>
        <v>4000</v>
      </c>
      <c r="I141" s="134">
        <f>I142</f>
        <v>5000</v>
      </c>
      <c r="J141" s="134">
        <f t="shared" ref="J141:J142" si="78">J142</f>
        <v>1249.9970000000001</v>
      </c>
      <c r="K141" s="134">
        <f>K142</f>
        <v>5000</v>
      </c>
      <c r="L141" s="134">
        <f>K141/I141*100</f>
        <v>100</v>
      </c>
    </row>
    <row r="142" spans="1:12" s="184" customFormat="1">
      <c r="A142" s="119" t="s">
        <v>301</v>
      </c>
      <c r="B142" s="120" t="s">
        <v>404</v>
      </c>
      <c r="C142" s="120" t="s">
        <v>78</v>
      </c>
      <c r="D142" s="120" t="s">
        <v>489</v>
      </c>
      <c r="E142" s="120" t="s">
        <v>574</v>
      </c>
      <c r="F142" s="137">
        <v>200</v>
      </c>
      <c r="G142" s="135">
        <f>G143</f>
        <v>1000</v>
      </c>
      <c r="H142" s="134">
        <f t="shared" si="77"/>
        <v>4000</v>
      </c>
      <c r="I142" s="135">
        <f>I143</f>
        <v>5000</v>
      </c>
      <c r="J142" s="135">
        <f t="shared" si="78"/>
        <v>1249.9970000000001</v>
      </c>
      <c r="K142" s="135">
        <f>K143</f>
        <v>5000</v>
      </c>
      <c r="L142" s="135">
        <f t="shared" ref="L142:L165" si="79">K142/I142*100</f>
        <v>100</v>
      </c>
    </row>
    <row r="143" spans="1:12" s="184" customFormat="1" ht="24">
      <c r="A143" s="119" t="s">
        <v>85</v>
      </c>
      <c r="B143" s="137">
        <v>598</v>
      </c>
      <c r="C143" s="120" t="s">
        <v>78</v>
      </c>
      <c r="D143" s="120" t="s">
        <v>489</v>
      </c>
      <c r="E143" s="120" t="s">
        <v>574</v>
      </c>
      <c r="F143" s="120" t="s">
        <v>86</v>
      </c>
      <c r="G143" s="135">
        <v>1000</v>
      </c>
      <c r="H143" s="134">
        <f t="shared" si="77"/>
        <v>4000</v>
      </c>
      <c r="I143" s="135">
        <f>1000+4000</f>
        <v>5000</v>
      </c>
      <c r="J143" s="135">
        <v>1249.9970000000001</v>
      </c>
      <c r="K143" s="135">
        <f>1000+4000</f>
        <v>5000</v>
      </c>
      <c r="L143" s="135">
        <f t="shared" si="79"/>
        <v>100</v>
      </c>
    </row>
    <row r="144" spans="1:12" s="184" customFormat="1">
      <c r="A144" s="110" t="s">
        <v>739</v>
      </c>
      <c r="B144" s="150">
        <v>598</v>
      </c>
      <c r="C144" s="111" t="s">
        <v>78</v>
      </c>
      <c r="D144" s="111" t="s">
        <v>489</v>
      </c>
      <c r="E144" s="111" t="s">
        <v>740</v>
      </c>
      <c r="F144" s="120"/>
      <c r="G144" s="135"/>
      <c r="H144" s="134"/>
      <c r="I144" s="134">
        <f>I145</f>
        <v>1000</v>
      </c>
      <c r="J144" s="134">
        <f t="shared" ref="J144:J145" si="80">J145</f>
        <v>0</v>
      </c>
      <c r="K144" s="134">
        <f>K145</f>
        <v>1000</v>
      </c>
      <c r="L144" s="134">
        <f t="shared" si="79"/>
        <v>100</v>
      </c>
    </row>
    <row r="145" spans="1:12" s="184" customFormat="1">
      <c r="A145" s="119" t="s">
        <v>95</v>
      </c>
      <c r="B145" s="120" t="s">
        <v>404</v>
      </c>
      <c r="C145" s="120" t="s">
        <v>78</v>
      </c>
      <c r="D145" s="120" t="s">
        <v>489</v>
      </c>
      <c r="E145" s="120" t="s">
        <v>740</v>
      </c>
      <c r="F145" s="120" t="s">
        <v>94</v>
      </c>
      <c r="G145" s="135"/>
      <c r="H145" s="134"/>
      <c r="I145" s="135">
        <f>I146</f>
        <v>1000</v>
      </c>
      <c r="J145" s="135">
        <f t="shared" si="80"/>
        <v>0</v>
      </c>
      <c r="K145" s="135">
        <f>K146</f>
        <v>1000</v>
      </c>
      <c r="L145" s="135">
        <f t="shared" si="79"/>
        <v>100</v>
      </c>
    </row>
    <row r="146" spans="1:12" s="184" customFormat="1">
      <c r="A146" s="119" t="s">
        <v>698</v>
      </c>
      <c r="B146" s="137">
        <v>598</v>
      </c>
      <c r="C146" s="120" t="s">
        <v>78</v>
      </c>
      <c r="D146" s="120" t="s">
        <v>489</v>
      </c>
      <c r="E146" s="120" t="s">
        <v>740</v>
      </c>
      <c r="F146" s="120" t="s">
        <v>680</v>
      </c>
      <c r="G146" s="135"/>
      <c r="H146" s="134"/>
      <c r="I146" s="135">
        <v>1000</v>
      </c>
      <c r="J146" s="135">
        <v>0</v>
      </c>
      <c r="K146" s="135">
        <v>1000</v>
      </c>
      <c r="L146" s="135">
        <f t="shared" si="79"/>
        <v>100</v>
      </c>
    </row>
    <row r="147" spans="1:12" s="184" customFormat="1">
      <c r="A147" s="110" t="s">
        <v>406</v>
      </c>
      <c r="B147" s="111">
        <v>598</v>
      </c>
      <c r="C147" s="111" t="s">
        <v>515</v>
      </c>
      <c r="D147" s="111" t="s">
        <v>77</v>
      </c>
      <c r="E147" s="111"/>
      <c r="F147" s="111"/>
      <c r="G147" s="112">
        <f>G148+G154</f>
        <v>41650</v>
      </c>
      <c r="H147" s="134">
        <f t="shared" si="77"/>
        <v>30664.167000000001</v>
      </c>
      <c r="I147" s="112">
        <f>I148+I154</f>
        <v>72314.167000000001</v>
      </c>
      <c r="J147" s="112">
        <f t="shared" ref="J147" si="81">J148+J154</f>
        <v>44112.048999999999</v>
      </c>
      <c r="K147" s="112">
        <f>K148+K154</f>
        <v>69319.06700000001</v>
      </c>
      <c r="L147" s="134">
        <f t="shared" si="79"/>
        <v>95.858211296273396</v>
      </c>
    </row>
    <row r="148" spans="1:12" s="184" customFormat="1">
      <c r="A148" s="110" t="s">
        <v>389</v>
      </c>
      <c r="B148" s="111" t="s">
        <v>404</v>
      </c>
      <c r="C148" s="111" t="s">
        <v>515</v>
      </c>
      <c r="D148" s="111" t="s">
        <v>76</v>
      </c>
      <c r="E148" s="111" t="s">
        <v>214</v>
      </c>
      <c r="F148" s="111"/>
      <c r="G148" s="112">
        <f>G149</f>
        <v>17150</v>
      </c>
      <c r="H148" s="134">
        <f t="shared" si="77"/>
        <v>0</v>
      </c>
      <c r="I148" s="112">
        <f>I149</f>
        <v>17150</v>
      </c>
      <c r="J148" s="112">
        <f t="shared" ref="J148:J152" si="82">J149</f>
        <v>12853</v>
      </c>
      <c r="K148" s="112">
        <f>K149</f>
        <v>17150</v>
      </c>
      <c r="L148" s="134">
        <f t="shared" si="79"/>
        <v>100</v>
      </c>
    </row>
    <row r="149" spans="1:12" s="184" customFormat="1">
      <c r="A149" s="124" t="s">
        <v>455</v>
      </c>
      <c r="B149" s="125">
        <v>598</v>
      </c>
      <c r="C149" s="125" t="s">
        <v>515</v>
      </c>
      <c r="D149" s="125" t="s">
        <v>76</v>
      </c>
      <c r="E149" s="125" t="s">
        <v>214</v>
      </c>
      <c r="F149" s="111"/>
      <c r="G149" s="126">
        <f>G150</f>
        <v>17150</v>
      </c>
      <c r="H149" s="134">
        <f t="shared" si="77"/>
        <v>0</v>
      </c>
      <c r="I149" s="126">
        <f>I150</f>
        <v>17150</v>
      </c>
      <c r="J149" s="126">
        <f t="shared" si="82"/>
        <v>12853</v>
      </c>
      <c r="K149" s="126">
        <f>K150</f>
        <v>17150</v>
      </c>
      <c r="L149" s="136">
        <f t="shared" si="79"/>
        <v>100</v>
      </c>
    </row>
    <row r="150" spans="1:12" s="183" customFormat="1">
      <c r="A150" s="110" t="s">
        <v>304</v>
      </c>
      <c r="B150" s="111">
        <v>598</v>
      </c>
      <c r="C150" s="111" t="s">
        <v>515</v>
      </c>
      <c r="D150" s="111" t="s">
        <v>76</v>
      </c>
      <c r="E150" s="111" t="s">
        <v>215</v>
      </c>
      <c r="F150" s="111"/>
      <c r="G150" s="112">
        <f>G151</f>
        <v>17150</v>
      </c>
      <c r="H150" s="134">
        <f t="shared" si="77"/>
        <v>0</v>
      </c>
      <c r="I150" s="112">
        <f>I151</f>
        <v>17150</v>
      </c>
      <c r="J150" s="112">
        <f t="shared" si="82"/>
        <v>12853</v>
      </c>
      <c r="K150" s="112">
        <f>K151</f>
        <v>17150</v>
      </c>
      <c r="L150" s="134">
        <f t="shared" si="79"/>
        <v>100</v>
      </c>
    </row>
    <row r="151" spans="1:12" s="183" customFormat="1" ht="24">
      <c r="A151" s="110" t="s">
        <v>401</v>
      </c>
      <c r="B151" s="111" t="s">
        <v>404</v>
      </c>
      <c r="C151" s="111" t="s">
        <v>515</v>
      </c>
      <c r="D151" s="111" t="s">
        <v>76</v>
      </c>
      <c r="E151" s="111" t="s">
        <v>499</v>
      </c>
      <c r="F151" s="111"/>
      <c r="G151" s="112">
        <f>G152</f>
        <v>17150</v>
      </c>
      <c r="H151" s="134">
        <f t="shared" si="77"/>
        <v>0</v>
      </c>
      <c r="I151" s="112">
        <f>I152</f>
        <v>17150</v>
      </c>
      <c r="J151" s="112">
        <f t="shared" si="82"/>
        <v>12853</v>
      </c>
      <c r="K151" s="112">
        <f>K152</f>
        <v>17150</v>
      </c>
      <c r="L151" s="134">
        <f t="shared" si="79"/>
        <v>100</v>
      </c>
    </row>
    <row r="152" spans="1:12" s="206" customFormat="1">
      <c r="A152" s="119" t="s">
        <v>95</v>
      </c>
      <c r="B152" s="120" t="s">
        <v>404</v>
      </c>
      <c r="C152" s="120" t="s">
        <v>515</v>
      </c>
      <c r="D152" s="120" t="s">
        <v>76</v>
      </c>
      <c r="E152" s="120" t="s">
        <v>499</v>
      </c>
      <c r="F152" s="120" t="s">
        <v>94</v>
      </c>
      <c r="G152" s="121">
        <f>G153</f>
        <v>17150</v>
      </c>
      <c r="H152" s="134">
        <f t="shared" si="77"/>
        <v>0</v>
      </c>
      <c r="I152" s="121">
        <f>I153</f>
        <v>17150</v>
      </c>
      <c r="J152" s="121">
        <f t="shared" si="82"/>
        <v>12853</v>
      </c>
      <c r="K152" s="121">
        <f>K153</f>
        <v>17150</v>
      </c>
      <c r="L152" s="135">
        <f t="shared" si="79"/>
        <v>100</v>
      </c>
    </row>
    <row r="153" spans="1:12" s="206" customFormat="1">
      <c r="A153" s="119" t="s">
        <v>157</v>
      </c>
      <c r="B153" s="120" t="s">
        <v>404</v>
      </c>
      <c r="C153" s="120" t="s">
        <v>515</v>
      </c>
      <c r="D153" s="120" t="s">
        <v>76</v>
      </c>
      <c r="E153" s="120" t="s">
        <v>499</v>
      </c>
      <c r="F153" s="120" t="s">
        <v>518</v>
      </c>
      <c r="G153" s="121">
        <v>17150</v>
      </c>
      <c r="H153" s="134">
        <f t="shared" si="77"/>
        <v>0</v>
      </c>
      <c r="I153" s="121">
        <v>17150</v>
      </c>
      <c r="J153" s="121">
        <v>12853</v>
      </c>
      <c r="K153" s="121">
        <v>17150</v>
      </c>
      <c r="L153" s="135">
        <f t="shared" si="79"/>
        <v>100</v>
      </c>
    </row>
    <row r="154" spans="1:12" s="122" customFormat="1">
      <c r="A154" s="110" t="s">
        <v>394</v>
      </c>
      <c r="B154" s="111" t="s">
        <v>404</v>
      </c>
      <c r="C154" s="111" t="s">
        <v>515</v>
      </c>
      <c r="D154" s="111" t="s">
        <v>483</v>
      </c>
      <c r="E154" s="111"/>
      <c r="F154" s="111"/>
      <c r="G154" s="112">
        <f>G155+G166</f>
        <v>24500</v>
      </c>
      <c r="H154" s="134">
        <f t="shared" si="77"/>
        <v>30664.167000000001</v>
      </c>
      <c r="I154" s="112">
        <f>I155+I166</f>
        <v>55164.167000000001</v>
      </c>
      <c r="J154" s="112">
        <f t="shared" ref="J154" si="83">J155+J166</f>
        <v>31259.049000000003</v>
      </c>
      <c r="K154" s="112">
        <f>K155+K166</f>
        <v>52169.067000000003</v>
      </c>
      <c r="L154" s="134">
        <f t="shared" si="79"/>
        <v>94.570569696085499</v>
      </c>
    </row>
    <row r="155" spans="1:12" s="122" customFormat="1">
      <c r="A155" s="124" t="s">
        <v>455</v>
      </c>
      <c r="B155" s="125">
        <v>598</v>
      </c>
      <c r="C155" s="125" t="s">
        <v>515</v>
      </c>
      <c r="D155" s="125" t="s">
        <v>483</v>
      </c>
      <c r="E155" s="125" t="s">
        <v>214</v>
      </c>
      <c r="F155" s="111"/>
      <c r="G155" s="126">
        <f>G156</f>
        <v>23000</v>
      </c>
      <c r="H155" s="134">
        <f t="shared" si="77"/>
        <v>30664.167000000001</v>
      </c>
      <c r="I155" s="126">
        <f>I156</f>
        <v>53664.167000000001</v>
      </c>
      <c r="J155" s="126">
        <f t="shared" ref="J155" si="84">J156</f>
        <v>30669.049000000003</v>
      </c>
      <c r="K155" s="126">
        <f>K156</f>
        <v>50669.067000000003</v>
      </c>
      <c r="L155" s="136">
        <f t="shared" si="79"/>
        <v>94.41880836424798</v>
      </c>
    </row>
    <row r="156" spans="1:12" s="184" customFormat="1">
      <c r="A156" s="110" t="s">
        <v>304</v>
      </c>
      <c r="B156" s="111">
        <v>598</v>
      </c>
      <c r="C156" s="111" t="s">
        <v>515</v>
      </c>
      <c r="D156" s="111" t="s">
        <v>483</v>
      </c>
      <c r="E156" s="111" t="s">
        <v>215</v>
      </c>
      <c r="F156" s="111"/>
      <c r="G156" s="112">
        <f>G160+G163</f>
        <v>23000</v>
      </c>
      <c r="H156" s="134">
        <f t="shared" si="77"/>
        <v>30664.167000000001</v>
      </c>
      <c r="I156" s="112">
        <f>I160+I163+I157</f>
        <v>53664.167000000001</v>
      </c>
      <c r="J156" s="112">
        <f t="shared" ref="J156" si="85">J160+J163+J157</f>
        <v>30669.049000000003</v>
      </c>
      <c r="K156" s="112">
        <f>K160+K163+K157</f>
        <v>50669.067000000003</v>
      </c>
      <c r="L156" s="134">
        <f t="shared" si="79"/>
        <v>94.41880836424798</v>
      </c>
    </row>
    <row r="157" spans="1:12" s="184" customFormat="1" ht="24">
      <c r="A157" s="110" t="s">
        <v>712</v>
      </c>
      <c r="B157" s="111" t="s">
        <v>404</v>
      </c>
      <c r="C157" s="111" t="s">
        <v>515</v>
      </c>
      <c r="D157" s="111" t="s">
        <v>483</v>
      </c>
      <c r="E157" s="156" t="s">
        <v>713</v>
      </c>
      <c r="F157" s="111"/>
      <c r="G157" s="112"/>
      <c r="H157" s="134"/>
      <c r="I157" s="112">
        <f>I158</f>
        <v>30664.167000000001</v>
      </c>
      <c r="J157" s="112">
        <f t="shared" ref="J157:J158" si="86">J158</f>
        <v>30664.167000000001</v>
      </c>
      <c r="K157" s="112">
        <f>K158</f>
        <v>30664.167000000001</v>
      </c>
      <c r="L157" s="134">
        <f t="shared" si="79"/>
        <v>100</v>
      </c>
    </row>
    <row r="158" spans="1:12" s="184" customFormat="1">
      <c r="A158" s="119" t="s">
        <v>95</v>
      </c>
      <c r="B158" s="120" t="s">
        <v>404</v>
      </c>
      <c r="C158" s="120" t="s">
        <v>515</v>
      </c>
      <c r="D158" s="120" t="s">
        <v>483</v>
      </c>
      <c r="E158" s="157" t="s">
        <v>713</v>
      </c>
      <c r="F158" s="120" t="s">
        <v>94</v>
      </c>
      <c r="G158" s="121">
        <f>G159</f>
        <v>3000</v>
      </c>
      <c r="H158" s="134">
        <f t="shared" ref="H158:H159" si="87">I158-G158</f>
        <v>27664.167000000001</v>
      </c>
      <c r="I158" s="121">
        <f>I159</f>
        <v>30664.167000000001</v>
      </c>
      <c r="J158" s="121">
        <f t="shared" si="86"/>
        <v>30664.167000000001</v>
      </c>
      <c r="K158" s="121">
        <f>K159</f>
        <v>30664.167000000001</v>
      </c>
      <c r="L158" s="135">
        <f t="shared" si="79"/>
        <v>100</v>
      </c>
    </row>
    <row r="159" spans="1:12" s="184" customFormat="1" ht="24">
      <c r="A159" s="119" t="s">
        <v>96</v>
      </c>
      <c r="B159" s="120" t="s">
        <v>404</v>
      </c>
      <c r="C159" s="120" t="s">
        <v>515</v>
      </c>
      <c r="D159" s="120" t="s">
        <v>483</v>
      </c>
      <c r="E159" s="130" t="s">
        <v>713</v>
      </c>
      <c r="F159" s="120" t="s">
        <v>97</v>
      </c>
      <c r="G159" s="121">
        <v>3000</v>
      </c>
      <c r="H159" s="134">
        <f t="shared" si="87"/>
        <v>27664.167000000001</v>
      </c>
      <c r="I159" s="121">
        <v>30664.167000000001</v>
      </c>
      <c r="J159" s="121">
        <v>30664.167000000001</v>
      </c>
      <c r="K159" s="121">
        <v>30664.167000000001</v>
      </c>
      <c r="L159" s="135">
        <f t="shared" si="79"/>
        <v>100</v>
      </c>
    </row>
    <row r="160" spans="1:12" s="184" customFormat="1">
      <c r="A160" s="110" t="s">
        <v>459</v>
      </c>
      <c r="B160" s="111" t="s">
        <v>404</v>
      </c>
      <c r="C160" s="111" t="s">
        <v>515</v>
      </c>
      <c r="D160" s="111" t="s">
        <v>483</v>
      </c>
      <c r="E160" s="156" t="s">
        <v>496</v>
      </c>
      <c r="F160" s="111"/>
      <c r="G160" s="112">
        <f>G161</f>
        <v>3000</v>
      </c>
      <c r="H160" s="134">
        <f t="shared" si="77"/>
        <v>0</v>
      </c>
      <c r="I160" s="112">
        <f>I161</f>
        <v>3000</v>
      </c>
      <c r="J160" s="112">
        <f t="shared" ref="J160:J161" si="88">J161</f>
        <v>4.8819999999999997</v>
      </c>
      <c r="K160" s="112">
        <f>K161</f>
        <v>4.9000000000000004</v>
      </c>
      <c r="L160" s="134">
        <f t="shared" si="79"/>
        <v>0.16333333333333333</v>
      </c>
    </row>
    <row r="161" spans="1:12" s="184" customFormat="1">
      <c r="A161" s="119" t="s">
        <v>95</v>
      </c>
      <c r="B161" s="120" t="s">
        <v>404</v>
      </c>
      <c r="C161" s="120" t="s">
        <v>515</v>
      </c>
      <c r="D161" s="120" t="s">
        <v>483</v>
      </c>
      <c r="E161" s="157" t="s">
        <v>496</v>
      </c>
      <c r="F161" s="120" t="s">
        <v>94</v>
      </c>
      <c r="G161" s="121">
        <f>G162</f>
        <v>3000</v>
      </c>
      <c r="H161" s="134">
        <f t="shared" si="77"/>
        <v>0</v>
      </c>
      <c r="I161" s="121">
        <f>I162</f>
        <v>3000</v>
      </c>
      <c r="J161" s="121">
        <f t="shared" si="88"/>
        <v>4.8819999999999997</v>
      </c>
      <c r="K161" s="121">
        <f>K162</f>
        <v>4.9000000000000004</v>
      </c>
      <c r="L161" s="135">
        <f t="shared" si="79"/>
        <v>0.16333333333333333</v>
      </c>
    </row>
    <row r="162" spans="1:12" s="184" customFormat="1" ht="24">
      <c r="A162" s="119" t="s">
        <v>96</v>
      </c>
      <c r="B162" s="120" t="s">
        <v>404</v>
      </c>
      <c r="C162" s="120" t="s">
        <v>515</v>
      </c>
      <c r="D162" s="120" t="s">
        <v>483</v>
      </c>
      <c r="E162" s="130" t="s">
        <v>496</v>
      </c>
      <c r="F162" s="120" t="s">
        <v>97</v>
      </c>
      <c r="G162" s="121">
        <v>3000</v>
      </c>
      <c r="H162" s="134">
        <f t="shared" si="77"/>
        <v>0</v>
      </c>
      <c r="I162" s="121">
        <v>3000</v>
      </c>
      <c r="J162" s="121">
        <v>4.8819999999999997</v>
      </c>
      <c r="K162" s="121">
        <v>4.9000000000000004</v>
      </c>
      <c r="L162" s="135">
        <f t="shared" si="79"/>
        <v>0.16333333333333333</v>
      </c>
    </row>
    <row r="163" spans="1:12" s="184" customFormat="1" ht="24">
      <c r="A163" s="110" t="s">
        <v>575</v>
      </c>
      <c r="B163" s="111" t="s">
        <v>404</v>
      </c>
      <c r="C163" s="111" t="s">
        <v>515</v>
      </c>
      <c r="D163" s="111" t="s">
        <v>483</v>
      </c>
      <c r="E163" s="111" t="s">
        <v>500</v>
      </c>
      <c r="F163" s="111"/>
      <c r="G163" s="112">
        <f>G164</f>
        <v>20000</v>
      </c>
      <c r="H163" s="134">
        <f t="shared" si="77"/>
        <v>0</v>
      </c>
      <c r="I163" s="112">
        <f>I164</f>
        <v>20000</v>
      </c>
      <c r="J163" s="228">
        <f t="shared" ref="J163:J164" si="89">J164</f>
        <v>0</v>
      </c>
      <c r="K163" s="112">
        <f>K164</f>
        <v>20000</v>
      </c>
      <c r="L163" s="134">
        <f t="shared" si="79"/>
        <v>100</v>
      </c>
    </row>
    <row r="164" spans="1:12" s="184" customFormat="1">
      <c r="A164" s="119" t="s">
        <v>95</v>
      </c>
      <c r="B164" s="120" t="s">
        <v>404</v>
      </c>
      <c r="C164" s="120" t="s">
        <v>515</v>
      </c>
      <c r="D164" s="120" t="s">
        <v>483</v>
      </c>
      <c r="E164" s="120" t="s">
        <v>500</v>
      </c>
      <c r="F164" s="120" t="s">
        <v>94</v>
      </c>
      <c r="G164" s="121">
        <f>G165</f>
        <v>20000</v>
      </c>
      <c r="H164" s="134">
        <f t="shared" si="77"/>
        <v>0</v>
      </c>
      <c r="I164" s="121">
        <f>I165</f>
        <v>20000</v>
      </c>
      <c r="J164" s="229">
        <f t="shared" si="89"/>
        <v>0</v>
      </c>
      <c r="K164" s="121">
        <f>K165</f>
        <v>20000</v>
      </c>
      <c r="L164" s="135">
        <f t="shared" si="79"/>
        <v>100</v>
      </c>
    </row>
    <row r="165" spans="1:12" s="184" customFormat="1" ht="24">
      <c r="A165" s="119" t="s">
        <v>96</v>
      </c>
      <c r="B165" s="120" t="s">
        <v>404</v>
      </c>
      <c r="C165" s="120" t="s">
        <v>515</v>
      </c>
      <c r="D165" s="120" t="s">
        <v>483</v>
      </c>
      <c r="E165" s="120" t="s">
        <v>500</v>
      </c>
      <c r="F165" s="120" t="s">
        <v>97</v>
      </c>
      <c r="G165" s="121">
        <v>20000</v>
      </c>
      <c r="H165" s="134">
        <f t="shared" si="77"/>
        <v>0</v>
      </c>
      <c r="I165" s="121">
        <v>20000</v>
      </c>
      <c r="J165" s="229">
        <v>0</v>
      </c>
      <c r="K165" s="121">
        <v>20000</v>
      </c>
      <c r="L165" s="135">
        <f t="shared" si="79"/>
        <v>100</v>
      </c>
    </row>
    <row r="166" spans="1:12" s="184" customFormat="1" ht="54">
      <c r="A166" s="123" t="s">
        <v>576</v>
      </c>
      <c r="B166" s="114" t="s">
        <v>404</v>
      </c>
      <c r="C166" s="114" t="s">
        <v>515</v>
      </c>
      <c r="D166" s="114" t="s">
        <v>483</v>
      </c>
      <c r="E166" s="149" t="s">
        <v>255</v>
      </c>
      <c r="F166" s="114"/>
      <c r="G166" s="115">
        <f>G167</f>
        <v>1500</v>
      </c>
      <c r="H166" s="134">
        <f t="shared" si="77"/>
        <v>0</v>
      </c>
      <c r="I166" s="115">
        <f>I167</f>
        <v>1500</v>
      </c>
      <c r="J166" s="115">
        <f t="shared" ref="J166:J168" si="90">J167</f>
        <v>590</v>
      </c>
      <c r="K166" s="115">
        <f>K167</f>
        <v>1500</v>
      </c>
      <c r="L166" s="115">
        <f>K166/I166*100</f>
        <v>100</v>
      </c>
    </row>
    <row r="167" spans="1:12" s="184" customFormat="1" ht="24">
      <c r="A167" s="141" t="s">
        <v>49</v>
      </c>
      <c r="B167" s="111" t="s">
        <v>404</v>
      </c>
      <c r="C167" s="111" t="s">
        <v>515</v>
      </c>
      <c r="D167" s="111" t="s">
        <v>483</v>
      </c>
      <c r="E167" s="142" t="s">
        <v>577</v>
      </c>
      <c r="F167" s="111"/>
      <c r="G167" s="112">
        <f>G168</f>
        <v>1500</v>
      </c>
      <c r="H167" s="134">
        <f t="shared" si="77"/>
        <v>0</v>
      </c>
      <c r="I167" s="112">
        <f>I168</f>
        <v>1500</v>
      </c>
      <c r="J167" s="112">
        <f t="shared" si="90"/>
        <v>590</v>
      </c>
      <c r="K167" s="112">
        <f>K168</f>
        <v>1500</v>
      </c>
      <c r="L167" s="112">
        <f>K167/I167*100</f>
        <v>100</v>
      </c>
    </row>
    <row r="168" spans="1:12" s="184" customFormat="1">
      <c r="A168" s="119" t="s">
        <v>95</v>
      </c>
      <c r="B168" s="120" t="s">
        <v>404</v>
      </c>
      <c r="C168" s="120" t="s">
        <v>515</v>
      </c>
      <c r="D168" s="120" t="s">
        <v>483</v>
      </c>
      <c r="E168" s="130" t="s">
        <v>577</v>
      </c>
      <c r="F168" s="120" t="s">
        <v>94</v>
      </c>
      <c r="G168" s="121">
        <f>G169</f>
        <v>1500</v>
      </c>
      <c r="H168" s="134">
        <f t="shared" si="77"/>
        <v>0</v>
      </c>
      <c r="I168" s="121">
        <f>I169</f>
        <v>1500</v>
      </c>
      <c r="J168" s="121">
        <f t="shared" si="90"/>
        <v>590</v>
      </c>
      <c r="K168" s="121">
        <f>K169</f>
        <v>1500</v>
      </c>
      <c r="L168" s="121">
        <f t="shared" ref="L168:L187" si="91">K168/I168*100</f>
        <v>100</v>
      </c>
    </row>
    <row r="169" spans="1:12" s="184" customFormat="1">
      <c r="A169" s="119" t="s">
        <v>157</v>
      </c>
      <c r="B169" s="120" t="s">
        <v>404</v>
      </c>
      <c r="C169" s="120" t="s">
        <v>515</v>
      </c>
      <c r="D169" s="120" t="s">
        <v>483</v>
      </c>
      <c r="E169" s="130" t="s">
        <v>577</v>
      </c>
      <c r="F169" s="120" t="s">
        <v>518</v>
      </c>
      <c r="G169" s="121">
        <v>1500</v>
      </c>
      <c r="H169" s="134">
        <f t="shared" si="77"/>
        <v>0</v>
      </c>
      <c r="I169" s="121">
        <v>1500</v>
      </c>
      <c r="J169" s="121">
        <v>590</v>
      </c>
      <c r="K169" s="121">
        <v>1500</v>
      </c>
      <c r="L169" s="121">
        <f t="shared" si="91"/>
        <v>100</v>
      </c>
    </row>
    <row r="170" spans="1:12" s="184" customFormat="1">
      <c r="A170" s="110" t="s">
        <v>399</v>
      </c>
      <c r="B170" s="111" t="s">
        <v>404</v>
      </c>
      <c r="C170" s="111" t="s">
        <v>489</v>
      </c>
      <c r="D170" s="111" t="s">
        <v>77</v>
      </c>
      <c r="E170" s="111"/>
      <c r="F170" s="111"/>
      <c r="G170" s="112">
        <f>G171+G183</f>
        <v>9930</v>
      </c>
      <c r="H170" s="134">
        <f t="shared" si="77"/>
        <v>-600</v>
      </c>
      <c r="I170" s="112">
        <f>I171+I183</f>
        <v>9330</v>
      </c>
      <c r="J170" s="112">
        <f t="shared" ref="J170" si="92">J171+J183</f>
        <v>7961.8410000000003</v>
      </c>
      <c r="K170" s="112">
        <f>K171+K183</f>
        <v>9328.3040000000001</v>
      </c>
      <c r="L170" s="112">
        <f t="shared" si="91"/>
        <v>99.981822079314043</v>
      </c>
    </row>
    <row r="171" spans="1:12" s="184" customFormat="1">
      <c r="A171" s="110" t="s">
        <v>387</v>
      </c>
      <c r="B171" s="111" t="s">
        <v>404</v>
      </c>
      <c r="C171" s="111" t="s">
        <v>489</v>
      </c>
      <c r="D171" s="111" t="s">
        <v>76</v>
      </c>
      <c r="E171" s="111" t="s">
        <v>214</v>
      </c>
      <c r="F171" s="111"/>
      <c r="G171" s="112">
        <f>G172</f>
        <v>3320</v>
      </c>
      <c r="H171" s="134">
        <f t="shared" si="77"/>
        <v>-1000</v>
      </c>
      <c r="I171" s="112">
        <f>I172</f>
        <v>2320</v>
      </c>
      <c r="J171" s="112">
        <f t="shared" ref="J171:J173" si="93">J172</f>
        <v>2205.3409999999999</v>
      </c>
      <c r="K171" s="112">
        <f>K172</f>
        <v>2318.3040000000001</v>
      </c>
      <c r="L171" s="112">
        <f t="shared" si="91"/>
        <v>99.926896551724141</v>
      </c>
    </row>
    <row r="172" spans="1:12" s="184" customFormat="1">
      <c r="A172" s="110" t="s">
        <v>108</v>
      </c>
      <c r="B172" s="111" t="s">
        <v>404</v>
      </c>
      <c r="C172" s="111" t="s">
        <v>489</v>
      </c>
      <c r="D172" s="111" t="s">
        <v>76</v>
      </c>
      <c r="E172" s="111" t="s">
        <v>215</v>
      </c>
      <c r="F172" s="111"/>
      <c r="G172" s="112">
        <f>G173</f>
        <v>3320</v>
      </c>
      <c r="H172" s="134">
        <f t="shared" si="77"/>
        <v>-1000</v>
      </c>
      <c r="I172" s="112">
        <f>I173</f>
        <v>2320</v>
      </c>
      <c r="J172" s="112">
        <f t="shared" si="93"/>
        <v>2205.3409999999999</v>
      </c>
      <c r="K172" s="112">
        <f>K173</f>
        <v>2318.3040000000001</v>
      </c>
      <c r="L172" s="112">
        <f t="shared" si="91"/>
        <v>99.926896551724141</v>
      </c>
    </row>
    <row r="173" spans="1:12" s="184" customFormat="1" ht="24">
      <c r="A173" s="143" t="s">
        <v>485</v>
      </c>
      <c r="B173" s="139" t="s">
        <v>404</v>
      </c>
      <c r="C173" s="139" t="s">
        <v>489</v>
      </c>
      <c r="D173" s="139" t="s">
        <v>76</v>
      </c>
      <c r="E173" s="139" t="s">
        <v>345</v>
      </c>
      <c r="F173" s="139"/>
      <c r="G173" s="144">
        <f>G174</f>
        <v>3320</v>
      </c>
      <c r="H173" s="134">
        <f t="shared" si="77"/>
        <v>-1000</v>
      </c>
      <c r="I173" s="144">
        <f>I174</f>
        <v>2320</v>
      </c>
      <c r="J173" s="144">
        <f t="shared" si="93"/>
        <v>2205.3409999999999</v>
      </c>
      <c r="K173" s="144">
        <f>K174</f>
        <v>2318.3040000000001</v>
      </c>
      <c r="L173" s="144">
        <f t="shared" si="91"/>
        <v>99.926896551724141</v>
      </c>
    </row>
    <row r="174" spans="1:12" s="184" customFormat="1">
      <c r="A174" s="110" t="s">
        <v>46</v>
      </c>
      <c r="B174" s="111" t="s">
        <v>404</v>
      </c>
      <c r="C174" s="111" t="s">
        <v>489</v>
      </c>
      <c r="D174" s="111" t="s">
        <v>76</v>
      </c>
      <c r="E174" s="111" t="s">
        <v>345</v>
      </c>
      <c r="F174" s="111"/>
      <c r="G174" s="112">
        <f>G175+G177+G181</f>
        <v>3320</v>
      </c>
      <c r="H174" s="134">
        <f t="shared" si="77"/>
        <v>-1000</v>
      </c>
      <c r="I174" s="112">
        <f>I175+I177+I179+I181</f>
        <v>2320</v>
      </c>
      <c r="J174" s="112">
        <f t="shared" ref="J174" si="94">J175+J177+J179+J181</f>
        <v>2205.3409999999999</v>
      </c>
      <c r="K174" s="112">
        <f>K175+K177+K179+K181</f>
        <v>2318.3040000000001</v>
      </c>
      <c r="L174" s="112">
        <f t="shared" si="91"/>
        <v>99.926896551724141</v>
      </c>
    </row>
    <row r="175" spans="1:12" s="184" customFormat="1" ht="36">
      <c r="A175" s="119" t="s">
        <v>79</v>
      </c>
      <c r="B175" s="120" t="s">
        <v>404</v>
      </c>
      <c r="C175" s="120" t="s">
        <v>489</v>
      </c>
      <c r="D175" s="120" t="s">
        <v>76</v>
      </c>
      <c r="E175" s="120" t="s">
        <v>345</v>
      </c>
      <c r="F175" s="120" t="s">
        <v>80</v>
      </c>
      <c r="G175" s="121">
        <f>G176</f>
        <v>3264</v>
      </c>
      <c r="H175" s="134">
        <f t="shared" si="77"/>
        <v>-997.55299999999988</v>
      </c>
      <c r="I175" s="121">
        <f>I176</f>
        <v>2266.4470000000001</v>
      </c>
      <c r="J175" s="121">
        <f t="shared" ref="J175" si="95">J176</f>
        <v>2162.84</v>
      </c>
      <c r="K175" s="121">
        <f>K176</f>
        <v>2266.4470000000001</v>
      </c>
      <c r="L175" s="121">
        <f t="shared" si="91"/>
        <v>100</v>
      </c>
    </row>
    <row r="176" spans="1:12" s="184" customFormat="1">
      <c r="A176" s="119" t="s">
        <v>486</v>
      </c>
      <c r="B176" s="120" t="s">
        <v>404</v>
      </c>
      <c r="C176" s="120" t="s">
        <v>489</v>
      </c>
      <c r="D176" s="120" t="s">
        <v>76</v>
      </c>
      <c r="E176" s="120" t="s">
        <v>345</v>
      </c>
      <c r="F176" s="120" t="s">
        <v>487</v>
      </c>
      <c r="G176" s="121">
        <f>2420+730+12+102</f>
        <v>3264</v>
      </c>
      <c r="H176" s="134">
        <f t="shared" si="77"/>
        <v>-997.55299999999988</v>
      </c>
      <c r="I176" s="121">
        <f>2420+730+12+102-71.314+28.421-954.66</f>
        <v>2266.4470000000001</v>
      </c>
      <c r="J176" s="121">
        <v>2162.84</v>
      </c>
      <c r="K176" s="121">
        <f>2420+730+12+102-71.314+28.421-954.66</f>
        <v>2266.4470000000001</v>
      </c>
      <c r="L176" s="121">
        <f t="shared" si="91"/>
        <v>100</v>
      </c>
    </row>
    <row r="177" spans="1:12" s="184" customFormat="1">
      <c r="A177" s="119" t="s">
        <v>301</v>
      </c>
      <c r="B177" s="120" t="s">
        <v>404</v>
      </c>
      <c r="C177" s="120" t="s">
        <v>489</v>
      </c>
      <c r="D177" s="120" t="s">
        <v>76</v>
      </c>
      <c r="E177" s="120" t="s">
        <v>345</v>
      </c>
      <c r="F177" s="120" t="s">
        <v>84</v>
      </c>
      <c r="G177" s="121">
        <f>G178</f>
        <v>50</v>
      </c>
      <c r="H177" s="134">
        <f t="shared" si="77"/>
        <v>-45.34</v>
      </c>
      <c r="I177" s="121">
        <f>I178</f>
        <v>4.6599999999999966</v>
      </c>
      <c r="J177" s="121">
        <f t="shared" ref="J177" si="96">J178</f>
        <v>2.964</v>
      </c>
      <c r="K177" s="121">
        <f>K178</f>
        <v>2.964</v>
      </c>
      <c r="L177" s="121">
        <f t="shared" si="91"/>
        <v>63.605150214592321</v>
      </c>
    </row>
    <row r="178" spans="1:12" s="184" customFormat="1" ht="24">
      <c r="A178" s="119" t="s">
        <v>85</v>
      </c>
      <c r="B178" s="120" t="s">
        <v>404</v>
      </c>
      <c r="C178" s="120" t="s">
        <v>489</v>
      </c>
      <c r="D178" s="120" t="s">
        <v>76</v>
      </c>
      <c r="E178" s="120" t="s">
        <v>345</v>
      </c>
      <c r="F178" s="120" t="s">
        <v>86</v>
      </c>
      <c r="G178" s="121">
        <v>50</v>
      </c>
      <c r="H178" s="134">
        <f t="shared" si="77"/>
        <v>-45.34</v>
      </c>
      <c r="I178" s="121">
        <f>50-45.34</f>
        <v>4.6599999999999966</v>
      </c>
      <c r="J178" s="121">
        <v>2.964</v>
      </c>
      <c r="K178" s="121">
        <v>2.964</v>
      </c>
      <c r="L178" s="121">
        <f t="shared" si="91"/>
        <v>63.605150214592321</v>
      </c>
    </row>
    <row r="179" spans="1:12" s="184" customFormat="1">
      <c r="A179" s="119" t="s">
        <v>95</v>
      </c>
      <c r="B179" s="120" t="s">
        <v>404</v>
      </c>
      <c r="C179" s="120" t="s">
        <v>489</v>
      </c>
      <c r="D179" s="120" t="s">
        <v>76</v>
      </c>
      <c r="E179" s="120" t="s">
        <v>345</v>
      </c>
      <c r="F179" s="120" t="s">
        <v>94</v>
      </c>
      <c r="G179" s="121"/>
      <c r="H179" s="134"/>
      <c r="I179" s="121">
        <f>I180</f>
        <v>39.536999999999999</v>
      </c>
      <c r="J179" s="121">
        <f t="shared" ref="J179" si="97">J180</f>
        <v>39.536999999999999</v>
      </c>
      <c r="K179" s="121">
        <f>K180</f>
        <v>39.536999999999999</v>
      </c>
      <c r="L179" s="121">
        <f t="shared" si="91"/>
        <v>100</v>
      </c>
    </row>
    <row r="180" spans="1:12" s="184" customFormat="1" ht="24">
      <c r="A180" s="119" t="s">
        <v>96</v>
      </c>
      <c r="B180" s="120" t="s">
        <v>404</v>
      </c>
      <c r="C180" s="120" t="s">
        <v>489</v>
      </c>
      <c r="D180" s="120" t="s">
        <v>76</v>
      </c>
      <c r="E180" s="120" t="s">
        <v>345</v>
      </c>
      <c r="F180" s="120" t="s">
        <v>97</v>
      </c>
      <c r="G180" s="121"/>
      <c r="H180" s="134"/>
      <c r="I180" s="121">
        <v>39.536999999999999</v>
      </c>
      <c r="J180" s="121">
        <v>39.536999999999999</v>
      </c>
      <c r="K180" s="121">
        <v>39.536999999999999</v>
      </c>
      <c r="L180" s="121">
        <f t="shared" si="91"/>
        <v>100</v>
      </c>
    </row>
    <row r="181" spans="1:12" s="184" customFormat="1">
      <c r="A181" s="119" t="s">
        <v>87</v>
      </c>
      <c r="B181" s="120" t="s">
        <v>404</v>
      </c>
      <c r="C181" s="120" t="s">
        <v>489</v>
      </c>
      <c r="D181" s="120" t="s">
        <v>76</v>
      </c>
      <c r="E181" s="120" t="s">
        <v>345</v>
      </c>
      <c r="F181" s="120" t="s">
        <v>88</v>
      </c>
      <c r="G181" s="121">
        <f>G182</f>
        <v>6</v>
      </c>
      <c r="H181" s="134">
        <f t="shared" si="77"/>
        <v>3.3559999999999999</v>
      </c>
      <c r="I181" s="121">
        <f>I182</f>
        <v>9.3559999999999999</v>
      </c>
      <c r="J181" s="229">
        <f t="shared" ref="J181" si="98">J182</f>
        <v>0</v>
      </c>
      <c r="K181" s="121">
        <f>K182</f>
        <v>9.3559999999999999</v>
      </c>
      <c r="L181" s="121">
        <f t="shared" si="91"/>
        <v>100</v>
      </c>
    </row>
    <row r="182" spans="1:12" s="184" customFormat="1">
      <c r="A182" s="119" t="s">
        <v>155</v>
      </c>
      <c r="B182" s="120" t="s">
        <v>404</v>
      </c>
      <c r="C182" s="120" t="s">
        <v>489</v>
      </c>
      <c r="D182" s="120" t="s">
        <v>76</v>
      </c>
      <c r="E182" s="120" t="s">
        <v>345</v>
      </c>
      <c r="F182" s="120" t="s">
        <v>89</v>
      </c>
      <c r="G182" s="121">
        <v>6</v>
      </c>
      <c r="H182" s="134">
        <f t="shared" si="77"/>
        <v>3.3559999999999999</v>
      </c>
      <c r="I182" s="121">
        <f>6+0.242+3.114</f>
        <v>9.3559999999999999</v>
      </c>
      <c r="J182" s="229">
        <v>0</v>
      </c>
      <c r="K182" s="121">
        <f>6+0.242+3.114</f>
        <v>9.3559999999999999</v>
      </c>
      <c r="L182" s="121">
        <f t="shared" si="91"/>
        <v>100</v>
      </c>
    </row>
    <row r="183" spans="1:12" s="184" customFormat="1" ht="15.75">
      <c r="A183" s="110" t="s">
        <v>388</v>
      </c>
      <c r="B183" s="111" t="s">
        <v>404</v>
      </c>
      <c r="C183" s="111" t="s">
        <v>489</v>
      </c>
      <c r="D183" s="111" t="s">
        <v>491</v>
      </c>
      <c r="E183" s="111" t="s">
        <v>214</v>
      </c>
      <c r="F183" s="117"/>
      <c r="G183" s="112">
        <f>G184</f>
        <v>6610</v>
      </c>
      <c r="H183" s="134">
        <f t="shared" si="77"/>
        <v>400</v>
      </c>
      <c r="I183" s="112">
        <f>I184</f>
        <v>7010</v>
      </c>
      <c r="J183" s="112">
        <f t="shared" ref="J183:J186" si="99">J184</f>
        <v>5756.5</v>
      </c>
      <c r="K183" s="112">
        <f>K184</f>
        <v>7010</v>
      </c>
      <c r="L183" s="112">
        <f t="shared" si="91"/>
        <v>100</v>
      </c>
    </row>
    <row r="184" spans="1:12" s="184" customFormat="1">
      <c r="A184" s="110" t="s">
        <v>108</v>
      </c>
      <c r="B184" s="111" t="s">
        <v>404</v>
      </c>
      <c r="C184" s="111" t="s">
        <v>489</v>
      </c>
      <c r="D184" s="111" t="s">
        <v>491</v>
      </c>
      <c r="E184" s="111" t="s">
        <v>215</v>
      </c>
      <c r="F184" s="111"/>
      <c r="G184" s="112">
        <f>G185</f>
        <v>6610</v>
      </c>
      <c r="H184" s="134">
        <f t="shared" si="77"/>
        <v>400</v>
      </c>
      <c r="I184" s="112">
        <f>I185</f>
        <v>7010</v>
      </c>
      <c r="J184" s="112">
        <f t="shared" si="99"/>
        <v>5756.5</v>
      </c>
      <c r="K184" s="112">
        <f>K185</f>
        <v>7010</v>
      </c>
      <c r="L184" s="112">
        <f t="shared" si="91"/>
        <v>100</v>
      </c>
    </row>
    <row r="185" spans="1:12" s="184" customFormat="1" ht="24">
      <c r="A185" s="110" t="s">
        <v>48</v>
      </c>
      <c r="B185" s="111" t="s">
        <v>404</v>
      </c>
      <c r="C185" s="111" t="s">
        <v>489</v>
      </c>
      <c r="D185" s="111" t="s">
        <v>491</v>
      </c>
      <c r="E185" s="111" t="s">
        <v>578</v>
      </c>
      <c r="F185" s="111"/>
      <c r="G185" s="112">
        <f>G186</f>
        <v>6610</v>
      </c>
      <c r="H185" s="134">
        <f t="shared" si="77"/>
        <v>400</v>
      </c>
      <c r="I185" s="112">
        <f>I186</f>
        <v>7010</v>
      </c>
      <c r="J185" s="112">
        <f t="shared" si="99"/>
        <v>5756.5</v>
      </c>
      <c r="K185" s="112">
        <f>K186</f>
        <v>7010</v>
      </c>
      <c r="L185" s="112">
        <f t="shared" si="91"/>
        <v>100</v>
      </c>
    </row>
    <row r="186" spans="1:12" s="184" customFormat="1" ht="24">
      <c r="A186" s="119" t="s">
        <v>104</v>
      </c>
      <c r="B186" s="120" t="s">
        <v>404</v>
      </c>
      <c r="C186" s="120" t="s">
        <v>489</v>
      </c>
      <c r="D186" s="120" t="s">
        <v>491</v>
      </c>
      <c r="E186" s="120" t="s">
        <v>578</v>
      </c>
      <c r="F186" s="120" t="s">
        <v>408</v>
      </c>
      <c r="G186" s="121">
        <f>G187</f>
        <v>6610</v>
      </c>
      <c r="H186" s="134">
        <f t="shared" si="77"/>
        <v>400</v>
      </c>
      <c r="I186" s="121">
        <f>I187</f>
        <v>7010</v>
      </c>
      <c r="J186" s="121">
        <f t="shared" si="99"/>
        <v>5756.5</v>
      </c>
      <c r="K186" s="121">
        <f>K187</f>
        <v>7010</v>
      </c>
      <c r="L186" s="121">
        <f t="shared" si="91"/>
        <v>100</v>
      </c>
    </row>
    <row r="187" spans="1:12" s="184" customFormat="1">
      <c r="A187" s="119" t="s">
        <v>105</v>
      </c>
      <c r="B187" s="120" t="s">
        <v>404</v>
      </c>
      <c r="C187" s="120" t="s">
        <v>489</v>
      </c>
      <c r="D187" s="120" t="s">
        <v>491</v>
      </c>
      <c r="E187" s="120" t="s">
        <v>578</v>
      </c>
      <c r="F187" s="120" t="s">
        <v>425</v>
      </c>
      <c r="G187" s="121">
        <v>6610</v>
      </c>
      <c r="H187" s="134">
        <f t="shared" si="77"/>
        <v>400</v>
      </c>
      <c r="I187" s="121">
        <f>6610+400</f>
        <v>7010</v>
      </c>
      <c r="J187" s="121">
        <v>5756.5</v>
      </c>
      <c r="K187" s="121">
        <f>6610+400</f>
        <v>7010</v>
      </c>
      <c r="L187" s="121">
        <f t="shared" si="91"/>
        <v>100</v>
      </c>
    </row>
    <row r="188" spans="1:12" s="184" customFormat="1" ht="31.5">
      <c r="A188" s="113" t="s">
        <v>184</v>
      </c>
      <c r="B188" s="116">
        <v>599</v>
      </c>
      <c r="C188" s="117"/>
      <c r="D188" s="117"/>
      <c r="E188" s="116"/>
      <c r="F188" s="116"/>
      <c r="G188" s="118" t="e">
        <f>G189+G218+#REF!</f>
        <v>#REF!</v>
      </c>
      <c r="H188" s="134" t="e">
        <f t="shared" si="77"/>
        <v>#REF!</v>
      </c>
      <c r="I188" s="118">
        <f>I189+I218</f>
        <v>20297.336160000003</v>
      </c>
      <c r="J188" s="118">
        <f t="shared" ref="J188" si="100">J189+J218</f>
        <v>15156.342999999999</v>
      </c>
      <c r="K188" s="118">
        <f>K189+K218</f>
        <v>19797.336160000003</v>
      </c>
      <c r="L188" s="118">
        <f>K188/I188*100</f>
        <v>97.536622559440332</v>
      </c>
    </row>
    <row r="189" spans="1:12" s="184" customFormat="1">
      <c r="A189" s="110" t="s">
        <v>114</v>
      </c>
      <c r="B189" s="111" t="s">
        <v>407</v>
      </c>
      <c r="C189" s="111" t="s">
        <v>76</v>
      </c>
      <c r="D189" s="111" t="s">
        <v>77</v>
      </c>
      <c r="E189" s="111"/>
      <c r="F189" s="111"/>
      <c r="G189" s="112">
        <f>G190+G201+G207</f>
        <v>17604.75</v>
      </c>
      <c r="H189" s="134">
        <f t="shared" si="77"/>
        <v>492.58616000000256</v>
      </c>
      <c r="I189" s="112">
        <f>I190+I201+I207</f>
        <v>18097.336160000003</v>
      </c>
      <c r="J189" s="112">
        <f t="shared" ref="J189" si="101">J190+J201+J207</f>
        <v>14161.487999999999</v>
      </c>
      <c r="K189" s="112">
        <f>K190+K201+K207</f>
        <v>17997.336160000003</v>
      </c>
      <c r="L189" s="112">
        <f>K189/I189*100</f>
        <v>99.447432488870774</v>
      </c>
    </row>
    <row r="190" spans="1:12" s="184" customFormat="1" ht="36">
      <c r="A190" s="110" t="s">
        <v>312</v>
      </c>
      <c r="B190" s="111" t="s">
        <v>407</v>
      </c>
      <c r="C190" s="111" t="s">
        <v>76</v>
      </c>
      <c r="D190" s="111" t="s">
        <v>78</v>
      </c>
      <c r="E190" s="111"/>
      <c r="F190" s="111"/>
      <c r="G190" s="112">
        <f>G191</f>
        <v>17110</v>
      </c>
      <c r="H190" s="134">
        <f t="shared" si="77"/>
        <v>484.26316000000224</v>
      </c>
      <c r="I190" s="112">
        <f>I191</f>
        <v>17594.263160000002</v>
      </c>
      <c r="J190" s="112">
        <f t="shared" ref="J190:J191" si="102">J191</f>
        <v>14016.965</v>
      </c>
      <c r="K190" s="112">
        <f>K191</f>
        <v>17594.263160000002</v>
      </c>
      <c r="L190" s="112">
        <f t="shared" ref="L190:L224" si="103">K190/I190*100</f>
        <v>100</v>
      </c>
    </row>
    <row r="191" spans="1:12" s="184" customFormat="1">
      <c r="A191" s="145" t="s">
        <v>74</v>
      </c>
      <c r="B191" s="125" t="s">
        <v>407</v>
      </c>
      <c r="C191" s="125" t="s">
        <v>76</v>
      </c>
      <c r="D191" s="125" t="s">
        <v>78</v>
      </c>
      <c r="E191" s="125" t="s">
        <v>214</v>
      </c>
      <c r="F191" s="125"/>
      <c r="G191" s="126">
        <f>G192</f>
        <v>17110</v>
      </c>
      <c r="H191" s="134">
        <f t="shared" si="77"/>
        <v>484.26316000000224</v>
      </c>
      <c r="I191" s="126">
        <f>I192</f>
        <v>17594.263160000002</v>
      </c>
      <c r="J191" s="126">
        <f t="shared" si="102"/>
        <v>14016.965</v>
      </c>
      <c r="K191" s="126">
        <f>K192</f>
        <v>17594.263160000002</v>
      </c>
      <c r="L191" s="126">
        <f t="shared" si="103"/>
        <v>100</v>
      </c>
    </row>
    <row r="192" spans="1:12" s="184" customFormat="1">
      <c r="A192" s="127" t="s">
        <v>304</v>
      </c>
      <c r="B192" s="111" t="s">
        <v>407</v>
      </c>
      <c r="C192" s="111" t="s">
        <v>76</v>
      </c>
      <c r="D192" s="111" t="s">
        <v>78</v>
      </c>
      <c r="E192" s="111" t="s">
        <v>215</v>
      </c>
      <c r="F192" s="111"/>
      <c r="G192" s="112">
        <f>G193+G196</f>
        <v>17110</v>
      </c>
      <c r="H192" s="134">
        <f t="shared" si="77"/>
        <v>484.26316000000224</v>
      </c>
      <c r="I192" s="112">
        <f>I193+I196</f>
        <v>17594.263160000002</v>
      </c>
      <c r="J192" s="112">
        <f t="shared" ref="J192" si="104">J193+J196</f>
        <v>14016.965</v>
      </c>
      <c r="K192" s="112">
        <f>K193+K196</f>
        <v>17594.263160000002</v>
      </c>
      <c r="L192" s="112">
        <f t="shared" si="103"/>
        <v>100</v>
      </c>
    </row>
    <row r="193" spans="1:12" s="184" customFormat="1" ht="24">
      <c r="A193" s="127" t="s">
        <v>303</v>
      </c>
      <c r="B193" s="111" t="s">
        <v>407</v>
      </c>
      <c r="C193" s="111" t="s">
        <v>76</v>
      </c>
      <c r="D193" s="111" t="s">
        <v>78</v>
      </c>
      <c r="E193" s="111" t="s">
        <v>216</v>
      </c>
      <c r="F193" s="111"/>
      <c r="G193" s="112">
        <f>G194</f>
        <v>15000</v>
      </c>
      <c r="H193" s="134">
        <f t="shared" si="77"/>
        <v>192.58616000000075</v>
      </c>
      <c r="I193" s="112">
        <f>I194</f>
        <v>15192.586160000001</v>
      </c>
      <c r="J193" s="112">
        <f t="shared" ref="J193:J194" si="105">J194</f>
        <v>12612.662</v>
      </c>
      <c r="K193" s="112">
        <f>K194</f>
        <v>15192.586160000001</v>
      </c>
      <c r="L193" s="112">
        <f t="shared" si="103"/>
        <v>100</v>
      </c>
    </row>
    <row r="194" spans="1:12" s="184" customFormat="1" ht="36">
      <c r="A194" s="119" t="s">
        <v>79</v>
      </c>
      <c r="B194" s="120" t="s">
        <v>407</v>
      </c>
      <c r="C194" s="120" t="s">
        <v>76</v>
      </c>
      <c r="D194" s="120" t="s">
        <v>78</v>
      </c>
      <c r="E194" s="120" t="s">
        <v>216</v>
      </c>
      <c r="F194" s="120" t="s">
        <v>80</v>
      </c>
      <c r="G194" s="121">
        <f>G195</f>
        <v>15000</v>
      </c>
      <c r="H194" s="134">
        <f t="shared" si="77"/>
        <v>192.58616000000075</v>
      </c>
      <c r="I194" s="121">
        <f>I195</f>
        <v>15192.586160000001</v>
      </c>
      <c r="J194" s="121">
        <f t="shared" si="105"/>
        <v>12612.662</v>
      </c>
      <c r="K194" s="121">
        <f>K195</f>
        <v>15192.586160000001</v>
      </c>
      <c r="L194" s="121">
        <f t="shared" si="103"/>
        <v>100</v>
      </c>
    </row>
    <row r="195" spans="1:12" s="184" customFormat="1">
      <c r="A195" s="119" t="s">
        <v>81</v>
      </c>
      <c r="B195" s="120" t="s">
        <v>407</v>
      </c>
      <c r="C195" s="120" t="s">
        <v>76</v>
      </c>
      <c r="D195" s="120" t="s">
        <v>78</v>
      </c>
      <c r="E195" s="120" t="s">
        <v>216</v>
      </c>
      <c r="F195" s="120" t="s">
        <v>82</v>
      </c>
      <c r="G195" s="121">
        <f>11525+75+3400</f>
        <v>15000</v>
      </c>
      <c r="H195" s="134">
        <f t="shared" si="77"/>
        <v>192.58616000000075</v>
      </c>
      <c r="I195" s="121">
        <f>11525+75+3400+192.58616</f>
        <v>15192.586160000001</v>
      </c>
      <c r="J195" s="121">
        <v>12612.662</v>
      </c>
      <c r="K195" s="121">
        <f>11525+75+3400+192.58616</f>
        <v>15192.586160000001</v>
      </c>
      <c r="L195" s="121">
        <f t="shared" si="103"/>
        <v>100</v>
      </c>
    </row>
    <row r="196" spans="1:12" s="184" customFormat="1">
      <c r="A196" s="110" t="s">
        <v>83</v>
      </c>
      <c r="B196" s="111" t="s">
        <v>407</v>
      </c>
      <c r="C196" s="111" t="s">
        <v>76</v>
      </c>
      <c r="D196" s="111" t="s">
        <v>78</v>
      </c>
      <c r="E196" s="111" t="s">
        <v>217</v>
      </c>
      <c r="F196" s="111"/>
      <c r="G196" s="112">
        <f>G197+G199</f>
        <v>2110</v>
      </c>
      <c r="H196" s="134">
        <f t="shared" si="77"/>
        <v>291.67700000000013</v>
      </c>
      <c r="I196" s="112">
        <f>I197+I199</f>
        <v>2401.6770000000001</v>
      </c>
      <c r="J196" s="112">
        <f t="shared" ref="J196" si="106">J197+J199</f>
        <v>1404.3030000000001</v>
      </c>
      <c r="K196" s="112">
        <f>K197+K199</f>
        <v>2401.6770000000001</v>
      </c>
      <c r="L196" s="112">
        <f t="shared" si="103"/>
        <v>100</v>
      </c>
    </row>
    <row r="197" spans="1:12" s="184" customFormat="1">
      <c r="A197" s="119" t="s">
        <v>301</v>
      </c>
      <c r="B197" s="120" t="s">
        <v>407</v>
      </c>
      <c r="C197" s="120" t="s">
        <v>76</v>
      </c>
      <c r="D197" s="120" t="s">
        <v>78</v>
      </c>
      <c r="E197" s="120" t="s">
        <v>217</v>
      </c>
      <c r="F197" s="120" t="s">
        <v>84</v>
      </c>
      <c r="G197" s="121">
        <f>G198</f>
        <v>2070</v>
      </c>
      <c r="H197" s="134">
        <f t="shared" si="77"/>
        <v>300</v>
      </c>
      <c r="I197" s="121">
        <f>I198</f>
        <v>2370</v>
      </c>
      <c r="J197" s="121">
        <f t="shared" ref="J197" si="107">J198</f>
        <v>1399.6120000000001</v>
      </c>
      <c r="K197" s="121">
        <f>K198</f>
        <v>2370</v>
      </c>
      <c r="L197" s="121">
        <f t="shared" si="103"/>
        <v>100</v>
      </c>
    </row>
    <row r="198" spans="1:12" s="184" customFormat="1" ht="24">
      <c r="A198" s="119" t="s">
        <v>85</v>
      </c>
      <c r="B198" s="120" t="s">
        <v>407</v>
      </c>
      <c r="C198" s="120" t="s">
        <v>76</v>
      </c>
      <c r="D198" s="120" t="s">
        <v>78</v>
      </c>
      <c r="E198" s="120" t="s">
        <v>217</v>
      </c>
      <c r="F198" s="120" t="s">
        <v>86</v>
      </c>
      <c r="G198" s="121">
        <f>500+980+190+150+50+200</f>
        <v>2070</v>
      </c>
      <c r="H198" s="134">
        <f t="shared" si="77"/>
        <v>300</v>
      </c>
      <c r="I198" s="121">
        <f>500+980+190+150+50+200+300</f>
        <v>2370</v>
      </c>
      <c r="J198" s="121">
        <v>1399.6120000000001</v>
      </c>
      <c r="K198" s="121">
        <f>500+980+190+150+50+200+300</f>
        <v>2370</v>
      </c>
      <c r="L198" s="121">
        <f t="shared" si="103"/>
        <v>100</v>
      </c>
    </row>
    <row r="199" spans="1:12" s="184" customFormat="1">
      <c r="A199" s="119" t="s">
        <v>87</v>
      </c>
      <c r="B199" s="120" t="s">
        <v>407</v>
      </c>
      <c r="C199" s="120" t="s">
        <v>76</v>
      </c>
      <c r="D199" s="120" t="s">
        <v>78</v>
      </c>
      <c r="E199" s="120" t="s">
        <v>217</v>
      </c>
      <c r="F199" s="120" t="s">
        <v>88</v>
      </c>
      <c r="G199" s="121">
        <f>G200</f>
        <v>40</v>
      </c>
      <c r="H199" s="134">
        <f t="shared" si="77"/>
        <v>-8.3230000000000004</v>
      </c>
      <c r="I199" s="121">
        <f>I200</f>
        <v>31.677</v>
      </c>
      <c r="J199" s="121">
        <f t="shared" ref="J199" si="108">J200</f>
        <v>4.6909999999999998</v>
      </c>
      <c r="K199" s="121">
        <f>K200</f>
        <v>31.677</v>
      </c>
      <c r="L199" s="121">
        <f t="shared" si="103"/>
        <v>100</v>
      </c>
    </row>
    <row r="200" spans="1:12" s="184" customFormat="1">
      <c r="A200" s="119" t="s">
        <v>514</v>
      </c>
      <c r="B200" s="120" t="s">
        <v>407</v>
      </c>
      <c r="C200" s="120" t="s">
        <v>76</v>
      </c>
      <c r="D200" s="120" t="s">
        <v>78</v>
      </c>
      <c r="E200" s="120" t="s">
        <v>217</v>
      </c>
      <c r="F200" s="120" t="s">
        <v>89</v>
      </c>
      <c r="G200" s="121">
        <v>40</v>
      </c>
      <c r="H200" s="134">
        <f t="shared" si="77"/>
        <v>-8.3230000000000004</v>
      </c>
      <c r="I200" s="121">
        <f>40-8.323</f>
        <v>31.677</v>
      </c>
      <c r="J200" s="121">
        <v>4.6909999999999998</v>
      </c>
      <c r="K200" s="121">
        <f>40-8.323</f>
        <v>31.677</v>
      </c>
      <c r="L200" s="121">
        <f t="shared" si="103"/>
        <v>100</v>
      </c>
    </row>
    <row r="201" spans="1:12" s="184" customFormat="1">
      <c r="A201" s="110" t="s">
        <v>454</v>
      </c>
      <c r="B201" s="111" t="s">
        <v>407</v>
      </c>
      <c r="C201" s="111" t="s">
        <v>76</v>
      </c>
      <c r="D201" s="111" t="s">
        <v>432</v>
      </c>
      <c r="E201" s="111"/>
      <c r="F201" s="111"/>
      <c r="G201" s="134">
        <f>G202</f>
        <v>94.75</v>
      </c>
      <c r="H201" s="134">
        <f t="shared" si="77"/>
        <v>0</v>
      </c>
      <c r="I201" s="134">
        <f>I202</f>
        <v>94.75</v>
      </c>
      <c r="J201" s="134">
        <f t="shared" ref="J201:J205" si="109">J202</f>
        <v>0</v>
      </c>
      <c r="K201" s="134">
        <f>K202</f>
        <v>94.75</v>
      </c>
      <c r="L201" s="112">
        <f t="shared" si="103"/>
        <v>100</v>
      </c>
    </row>
    <row r="202" spans="1:12" s="184" customFormat="1">
      <c r="A202" s="145" t="s">
        <v>74</v>
      </c>
      <c r="B202" s="125" t="s">
        <v>407</v>
      </c>
      <c r="C202" s="125" t="s">
        <v>76</v>
      </c>
      <c r="D202" s="125" t="s">
        <v>432</v>
      </c>
      <c r="E202" s="125" t="s">
        <v>214</v>
      </c>
      <c r="F202" s="120"/>
      <c r="G202" s="136">
        <f>G203</f>
        <v>94.75</v>
      </c>
      <c r="H202" s="134">
        <f t="shared" si="77"/>
        <v>0</v>
      </c>
      <c r="I202" s="136">
        <f>I203</f>
        <v>94.75</v>
      </c>
      <c r="J202" s="136">
        <f t="shared" si="109"/>
        <v>0</v>
      </c>
      <c r="K202" s="136">
        <f>K203</f>
        <v>94.75</v>
      </c>
      <c r="L202" s="126">
        <f t="shared" si="103"/>
        <v>100</v>
      </c>
    </row>
    <row r="203" spans="1:12" s="184" customFormat="1">
      <c r="A203" s="127" t="s">
        <v>304</v>
      </c>
      <c r="B203" s="111" t="s">
        <v>407</v>
      </c>
      <c r="C203" s="111" t="s">
        <v>76</v>
      </c>
      <c r="D203" s="111" t="s">
        <v>432</v>
      </c>
      <c r="E203" s="111" t="s">
        <v>215</v>
      </c>
      <c r="F203" s="120"/>
      <c r="G203" s="134">
        <f>G204</f>
        <v>94.75</v>
      </c>
      <c r="H203" s="134">
        <f t="shared" si="77"/>
        <v>0</v>
      </c>
      <c r="I203" s="134">
        <f>I204</f>
        <v>94.75</v>
      </c>
      <c r="J203" s="134">
        <f t="shared" si="109"/>
        <v>0</v>
      </c>
      <c r="K203" s="134">
        <f>K204</f>
        <v>94.75</v>
      </c>
      <c r="L203" s="112">
        <f t="shared" si="103"/>
        <v>100</v>
      </c>
    </row>
    <row r="204" spans="1:12" s="184" customFormat="1" ht="36">
      <c r="A204" s="110" t="s">
        <v>457</v>
      </c>
      <c r="B204" s="111" t="s">
        <v>407</v>
      </c>
      <c r="C204" s="111" t="s">
        <v>76</v>
      </c>
      <c r="D204" s="111" t="s">
        <v>432</v>
      </c>
      <c r="E204" s="111" t="s">
        <v>351</v>
      </c>
      <c r="F204" s="111"/>
      <c r="G204" s="134">
        <f>G205</f>
        <v>94.75</v>
      </c>
      <c r="H204" s="134">
        <f t="shared" si="77"/>
        <v>0</v>
      </c>
      <c r="I204" s="134">
        <f>I205</f>
        <v>94.75</v>
      </c>
      <c r="J204" s="134">
        <f t="shared" si="109"/>
        <v>0</v>
      </c>
      <c r="K204" s="134">
        <f>K205</f>
        <v>94.75</v>
      </c>
      <c r="L204" s="112">
        <f t="shared" si="103"/>
        <v>100</v>
      </c>
    </row>
    <row r="205" spans="1:12" s="184" customFormat="1">
      <c r="A205" s="119" t="s">
        <v>301</v>
      </c>
      <c r="B205" s="120" t="s">
        <v>407</v>
      </c>
      <c r="C205" s="120" t="s">
        <v>76</v>
      </c>
      <c r="D205" s="120" t="s">
        <v>432</v>
      </c>
      <c r="E205" s="120" t="s">
        <v>351</v>
      </c>
      <c r="F205" s="120" t="s">
        <v>84</v>
      </c>
      <c r="G205" s="135">
        <f>G206</f>
        <v>94.75</v>
      </c>
      <c r="H205" s="134">
        <f t="shared" si="77"/>
        <v>0</v>
      </c>
      <c r="I205" s="135">
        <f>I206</f>
        <v>94.75</v>
      </c>
      <c r="J205" s="135">
        <f t="shared" si="109"/>
        <v>0</v>
      </c>
      <c r="K205" s="135">
        <f>K206</f>
        <v>94.75</v>
      </c>
      <c r="L205" s="121">
        <f t="shared" si="103"/>
        <v>100</v>
      </c>
    </row>
    <row r="206" spans="1:12" s="184" customFormat="1" ht="24">
      <c r="A206" s="119" t="s">
        <v>85</v>
      </c>
      <c r="B206" s="120" t="s">
        <v>407</v>
      </c>
      <c r="C206" s="120" t="s">
        <v>76</v>
      </c>
      <c r="D206" s="120" t="s">
        <v>432</v>
      </c>
      <c r="E206" s="120" t="s">
        <v>351</v>
      </c>
      <c r="F206" s="120" t="s">
        <v>86</v>
      </c>
      <c r="G206" s="135">
        <v>94.75</v>
      </c>
      <c r="H206" s="134">
        <f t="shared" si="77"/>
        <v>0</v>
      </c>
      <c r="I206" s="135">
        <v>94.75</v>
      </c>
      <c r="J206" s="135">
        <v>0</v>
      </c>
      <c r="K206" s="135">
        <v>94.75</v>
      </c>
      <c r="L206" s="121">
        <f t="shared" si="103"/>
        <v>100</v>
      </c>
    </row>
    <row r="207" spans="1:12" s="184" customFormat="1">
      <c r="A207" s="153" t="s">
        <v>318</v>
      </c>
      <c r="B207" s="111" t="s">
        <v>407</v>
      </c>
      <c r="C207" s="111" t="s">
        <v>76</v>
      </c>
      <c r="D207" s="111" t="s">
        <v>93</v>
      </c>
      <c r="E207" s="111"/>
      <c r="F207" s="111"/>
      <c r="G207" s="112">
        <f>G208</f>
        <v>400</v>
      </c>
      <c r="H207" s="134">
        <f t="shared" si="77"/>
        <v>8.3229999999999791</v>
      </c>
      <c r="I207" s="112">
        <f>I208+I213</f>
        <v>408.32299999999998</v>
      </c>
      <c r="J207" s="112">
        <f t="shared" ref="J207" si="110">J208+J213</f>
        <v>144.523</v>
      </c>
      <c r="K207" s="112">
        <f>K208+K213</f>
        <v>308.32299999999998</v>
      </c>
      <c r="L207" s="112">
        <f t="shared" si="103"/>
        <v>75.509584324174725</v>
      </c>
    </row>
    <row r="208" spans="1:12" s="184" customFormat="1" ht="27">
      <c r="A208" s="158" t="s">
        <v>579</v>
      </c>
      <c r="B208" s="114">
        <v>599</v>
      </c>
      <c r="C208" s="114" t="s">
        <v>76</v>
      </c>
      <c r="D208" s="114" t="s">
        <v>93</v>
      </c>
      <c r="E208" s="114" t="s">
        <v>103</v>
      </c>
      <c r="F208" s="114"/>
      <c r="G208" s="115">
        <f>G209</f>
        <v>400</v>
      </c>
      <c r="H208" s="134">
        <f t="shared" si="77"/>
        <v>0</v>
      </c>
      <c r="I208" s="115">
        <f>I209</f>
        <v>400</v>
      </c>
      <c r="J208" s="115">
        <f t="shared" ref="J208:J211" si="111">J209</f>
        <v>136.19999999999999</v>
      </c>
      <c r="K208" s="115">
        <f>K209</f>
        <v>300</v>
      </c>
      <c r="L208" s="115">
        <f t="shared" si="103"/>
        <v>75</v>
      </c>
    </row>
    <row r="209" spans="1:12" s="184" customFormat="1" ht="24">
      <c r="A209" s="153" t="s">
        <v>501</v>
      </c>
      <c r="B209" s="111" t="s">
        <v>407</v>
      </c>
      <c r="C209" s="111" t="s">
        <v>76</v>
      </c>
      <c r="D209" s="111" t="s">
        <v>93</v>
      </c>
      <c r="E209" s="111" t="s">
        <v>503</v>
      </c>
      <c r="F209" s="111"/>
      <c r="G209" s="112">
        <f>G210</f>
        <v>400</v>
      </c>
      <c r="H209" s="134">
        <f t="shared" si="77"/>
        <v>0</v>
      </c>
      <c r="I209" s="112">
        <f>I210</f>
        <v>400</v>
      </c>
      <c r="J209" s="112">
        <f t="shared" si="111"/>
        <v>136.19999999999999</v>
      </c>
      <c r="K209" s="112">
        <f>K210</f>
        <v>300</v>
      </c>
      <c r="L209" s="112">
        <f t="shared" si="103"/>
        <v>75</v>
      </c>
    </row>
    <row r="210" spans="1:12" s="184" customFormat="1" ht="24">
      <c r="A210" s="140" t="s">
        <v>502</v>
      </c>
      <c r="B210" s="125" t="s">
        <v>407</v>
      </c>
      <c r="C210" s="125" t="s">
        <v>76</v>
      </c>
      <c r="D210" s="125" t="s">
        <v>93</v>
      </c>
      <c r="E210" s="125" t="s">
        <v>580</v>
      </c>
      <c r="F210" s="125"/>
      <c r="G210" s="126">
        <f>G211</f>
        <v>400</v>
      </c>
      <c r="H210" s="134">
        <f t="shared" ref="H210:H265" si="112">I210-G210</f>
        <v>0</v>
      </c>
      <c r="I210" s="126">
        <f>I211</f>
        <v>400</v>
      </c>
      <c r="J210" s="126">
        <f t="shared" si="111"/>
        <v>136.19999999999999</v>
      </c>
      <c r="K210" s="126">
        <f>K211</f>
        <v>300</v>
      </c>
      <c r="L210" s="126">
        <f t="shared" si="103"/>
        <v>75</v>
      </c>
    </row>
    <row r="211" spans="1:12" s="184" customFormat="1" ht="36">
      <c r="A211" s="119" t="s">
        <v>79</v>
      </c>
      <c r="B211" s="120" t="s">
        <v>407</v>
      </c>
      <c r="C211" s="120" t="s">
        <v>76</v>
      </c>
      <c r="D211" s="120" t="s">
        <v>93</v>
      </c>
      <c r="E211" s="120" t="s">
        <v>580</v>
      </c>
      <c r="F211" s="120" t="s">
        <v>80</v>
      </c>
      <c r="G211" s="121">
        <f>G212</f>
        <v>400</v>
      </c>
      <c r="H211" s="134">
        <f t="shared" si="112"/>
        <v>0</v>
      </c>
      <c r="I211" s="121">
        <f>I212</f>
        <v>400</v>
      </c>
      <c r="J211" s="121">
        <f t="shared" si="111"/>
        <v>136.19999999999999</v>
      </c>
      <c r="K211" s="121">
        <f>K212</f>
        <v>300</v>
      </c>
      <c r="L211" s="121">
        <f t="shared" si="103"/>
        <v>75</v>
      </c>
    </row>
    <row r="212" spans="1:12" s="184" customFormat="1">
      <c r="A212" s="119" t="s">
        <v>81</v>
      </c>
      <c r="B212" s="120" t="s">
        <v>407</v>
      </c>
      <c r="C212" s="120" t="s">
        <v>76</v>
      </c>
      <c r="D212" s="120" t="s">
        <v>93</v>
      </c>
      <c r="E212" s="120" t="s">
        <v>580</v>
      </c>
      <c r="F212" s="120" t="s">
        <v>82</v>
      </c>
      <c r="G212" s="121">
        <v>400</v>
      </c>
      <c r="H212" s="134">
        <f t="shared" si="112"/>
        <v>0</v>
      </c>
      <c r="I212" s="121">
        <v>400</v>
      </c>
      <c r="J212" s="121">
        <v>136.19999999999999</v>
      </c>
      <c r="K212" s="121">
        <f>400-100</f>
        <v>300</v>
      </c>
      <c r="L212" s="121">
        <f t="shared" si="103"/>
        <v>75</v>
      </c>
    </row>
    <row r="213" spans="1:12" s="184" customFormat="1">
      <c r="A213" s="145" t="s">
        <v>74</v>
      </c>
      <c r="B213" s="125">
        <v>599</v>
      </c>
      <c r="C213" s="125" t="s">
        <v>76</v>
      </c>
      <c r="D213" s="125" t="s">
        <v>93</v>
      </c>
      <c r="E213" s="125" t="s">
        <v>214</v>
      </c>
      <c r="F213" s="125"/>
      <c r="G213" s="126" t="e">
        <f t="shared" ref="G213:G214" si="113">G214</f>
        <v>#REF!</v>
      </c>
      <c r="H213" s="134" t="e">
        <f t="shared" ref="H213:H214" si="114">I213-G213</f>
        <v>#REF!</v>
      </c>
      <c r="I213" s="126">
        <f>I214</f>
        <v>8.3230000000000004</v>
      </c>
      <c r="J213" s="126">
        <f t="shared" ref="J213:J216" si="115">J214</f>
        <v>8.3230000000000004</v>
      </c>
      <c r="K213" s="126">
        <f>K214</f>
        <v>8.3230000000000004</v>
      </c>
      <c r="L213" s="126">
        <f t="shared" si="103"/>
        <v>100</v>
      </c>
    </row>
    <row r="214" spans="1:12" s="184" customFormat="1">
      <c r="A214" s="127" t="s">
        <v>304</v>
      </c>
      <c r="B214" s="111" t="s">
        <v>407</v>
      </c>
      <c r="C214" s="111" t="s">
        <v>76</v>
      </c>
      <c r="D214" s="111" t="s">
        <v>93</v>
      </c>
      <c r="E214" s="111" t="s">
        <v>215</v>
      </c>
      <c r="F214" s="111"/>
      <c r="G214" s="112" t="e">
        <f t="shared" si="113"/>
        <v>#REF!</v>
      </c>
      <c r="H214" s="134" t="e">
        <f t="shared" si="114"/>
        <v>#REF!</v>
      </c>
      <c r="I214" s="112">
        <f>I215</f>
        <v>8.3230000000000004</v>
      </c>
      <c r="J214" s="112">
        <f t="shared" si="115"/>
        <v>8.3230000000000004</v>
      </c>
      <c r="K214" s="112">
        <f>K215</f>
        <v>8.3230000000000004</v>
      </c>
      <c r="L214" s="112">
        <f t="shared" si="103"/>
        <v>100</v>
      </c>
    </row>
    <row r="215" spans="1:12" s="184" customFormat="1">
      <c r="A215" s="110" t="s">
        <v>319</v>
      </c>
      <c r="B215" s="111" t="s">
        <v>407</v>
      </c>
      <c r="C215" s="111" t="s">
        <v>76</v>
      </c>
      <c r="D215" s="111" t="s">
        <v>93</v>
      </c>
      <c r="E215" s="142" t="s">
        <v>344</v>
      </c>
      <c r="F215" s="111"/>
      <c r="G215" s="134" t="e">
        <f>G216</f>
        <v>#REF!</v>
      </c>
      <c r="H215" s="134" t="e">
        <f t="shared" si="112"/>
        <v>#REF!</v>
      </c>
      <c r="I215" s="134">
        <f>I216</f>
        <v>8.3230000000000004</v>
      </c>
      <c r="J215" s="134">
        <f t="shared" si="115"/>
        <v>8.3230000000000004</v>
      </c>
      <c r="K215" s="134">
        <f>K216</f>
        <v>8.3230000000000004</v>
      </c>
      <c r="L215" s="112">
        <f t="shared" si="103"/>
        <v>100</v>
      </c>
    </row>
    <row r="216" spans="1:12" s="184" customFormat="1">
      <c r="A216" s="119" t="s">
        <v>87</v>
      </c>
      <c r="B216" s="120" t="s">
        <v>407</v>
      </c>
      <c r="C216" s="120" t="s">
        <v>76</v>
      </c>
      <c r="D216" s="120" t="s">
        <v>93</v>
      </c>
      <c r="E216" s="130" t="s">
        <v>344</v>
      </c>
      <c r="F216" s="120" t="s">
        <v>88</v>
      </c>
      <c r="G216" s="135" t="e">
        <f>G217+#REF!</f>
        <v>#REF!</v>
      </c>
      <c r="H216" s="134" t="e">
        <f t="shared" si="112"/>
        <v>#REF!</v>
      </c>
      <c r="I216" s="135">
        <f>I217</f>
        <v>8.3230000000000004</v>
      </c>
      <c r="J216" s="135">
        <f t="shared" si="115"/>
        <v>8.3230000000000004</v>
      </c>
      <c r="K216" s="135">
        <f>K217</f>
        <v>8.3230000000000004</v>
      </c>
      <c r="L216" s="121">
        <f t="shared" si="103"/>
        <v>100</v>
      </c>
    </row>
    <row r="217" spans="1:12" s="184" customFormat="1">
      <c r="A217" s="119" t="s">
        <v>150</v>
      </c>
      <c r="B217" s="120" t="s">
        <v>407</v>
      </c>
      <c r="C217" s="120" t="s">
        <v>76</v>
      </c>
      <c r="D217" s="120" t="s">
        <v>93</v>
      </c>
      <c r="E217" s="130" t="s">
        <v>344</v>
      </c>
      <c r="F217" s="120" t="s">
        <v>154</v>
      </c>
      <c r="G217" s="135">
        <v>1950</v>
      </c>
      <c r="H217" s="134">
        <f t="shared" si="112"/>
        <v>-1941.6769999999999</v>
      </c>
      <c r="I217" s="135">
        <v>8.3230000000000004</v>
      </c>
      <c r="J217" s="135">
        <v>8.3230000000000004</v>
      </c>
      <c r="K217" s="135">
        <v>8.3230000000000004</v>
      </c>
      <c r="L217" s="121">
        <f t="shared" si="103"/>
        <v>100</v>
      </c>
    </row>
    <row r="218" spans="1:12" s="184" customFormat="1">
      <c r="A218" s="110" t="s">
        <v>375</v>
      </c>
      <c r="B218" s="111" t="s">
        <v>407</v>
      </c>
      <c r="C218" s="111" t="s">
        <v>432</v>
      </c>
      <c r="D218" s="111" t="s">
        <v>77</v>
      </c>
      <c r="E218" s="120"/>
      <c r="F218" s="120"/>
      <c r="G218" s="112">
        <f t="shared" ref="G218:K223" si="116">G219</f>
        <v>2500</v>
      </c>
      <c r="H218" s="134">
        <f t="shared" si="112"/>
        <v>-300</v>
      </c>
      <c r="I218" s="112">
        <f t="shared" si="116"/>
        <v>2200</v>
      </c>
      <c r="J218" s="112">
        <f t="shared" si="116"/>
        <v>994.85500000000002</v>
      </c>
      <c r="K218" s="112">
        <f t="shared" si="116"/>
        <v>1800</v>
      </c>
      <c r="L218" s="112">
        <f t="shared" si="103"/>
        <v>81.818181818181827</v>
      </c>
    </row>
    <row r="219" spans="1:12" s="184" customFormat="1">
      <c r="A219" s="110" t="s">
        <v>379</v>
      </c>
      <c r="B219" s="111" t="s">
        <v>407</v>
      </c>
      <c r="C219" s="111" t="s">
        <v>432</v>
      </c>
      <c r="D219" s="111" t="s">
        <v>483</v>
      </c>
      <c r="E219" s="125"/>
      <c r="F219" s="125"/>
      <c r="G219" s="112">
        <f t="shared" si="116"/>
        <v>2500</v>
      </c>
      <c r="H219" s="134">
        <f t="shared" si="112"/>
        <v>-300</v>
      </c>
      <c r="I219" s="112">
        <f t="shared" si="116"/>
        <v>2200</v>
      </c>
      <c r="J219" s="112">
        <f t="shared" si="116"/>
        <v>994.85500000000002</v>
      </c>
      <c r="K219" s="112">
        <f t="shared" si="116"/>
        <v>1800</v>
      </c>
      <c r="L219" s="112">
        <f t="shared" si="103"/>
        <v>81.818181818181827</v>
      </c>
    </row>
    <row r="220" spans="1:12" s="184" customFormat="1">
      <c r="A220" s="145" t="s">
        <v>74</v>
      </c>
      <c r="B220" s="125" t="s">
        <v>407</v>
      </c>
      <c r="C220" s="125" t="s">
        <v>432</v>
      </c>
      <c r="D220" s="125" t="s">
        <v>483</v>
      </c>
      <c r="E220" s="125" t="s">
        <v>214</v>
      </c>
      <c r="F220" s="125"/>
      <c r="G220" s="126">
        <f t="shared" si="116"/>
        <v>2500</v>
      </c>
      <c r="H220" s="134">
        <f t="shared" si="112"/>
        <v>-300</v>
      </c>
      <c r="I220" s="126">
        <f t="shared" si="116"/>
        <v>2200</v>
      </c>
      <c r="J220" s="126">
        <f t="shared" si="116"/>
        <v>994.85500000000002</v>
      </c>
      <c r="K220" s="126">
        <f t="shared" si="116"/>
        <v>1800</v>
      </c>
      <c r="L220" s="126">
        <f t="shared" si="103"/>
        <v>81.818181818181827</v>
      </c>
    </row>
    <row r="221" spans="1:12" s="184" customFormat="1">
      <c r="A221" s="110" t="s">
        <v>304</v>
      </c>
      <c r="B221" s="111" t="s">
        <v>407</v>
      </c>
      <c r="C221" s="111" t="s">
        <v>432</v>
      </c>
      <c r="D221" s="111" t="s">
        <v>483</v>
      </c>
      <c r="E221" s="111" t="s">
        <v>215</v>
      </c>
      <c r="F221" s="111"/>
      <c r="G221" s="112">
        <f t="shared" si="116"/>
        <v>2500</v>
      </c>
      <c r="H221" s="134">
        <f t="shared" si="112"/>
        <v>-300</v>
      </c>
      <c r="I221" s="112">
        <f t="shared" si="116"/>
        <v>2200</v>
      </c>
      <c r="J221" s="112">
        <f t="shared" si="116"/>
        <v>994.85500000000002</v>
      </c>
      <c r="K221" s="112">
        <f t="shared" si="116"/>
        <v>1800</v>
      </c>
      <c r="L221" s="112">
        <f t="shared" si="103"/>
        <v>81.818181818181827</v>
      </c>
    </row>
    <row r="222" spans="1:12" s="184" customFormat="1">
      <c r="A222" s="110" t="s">
        <v>696</v>
      </c>
      <c r="B222" s="111" t="s">
        <v>407</v>
      </c>
      <c r="C222" s="111" t="s">
        <v>432</v>
      </c>
      <c r="D222" s="111" t="s">
        <v>483</v>
      </c>
      <c r="E222" s="142" t="s">
        <v>346</v>
      </c>
      <c r="F222" s="111"/>
      <c r="G222" s="112">
        <f t="shared" si="116"/>
        <v>2500</v>
      </c>
      <c r="H222" s="134">
        <f t="shared" si="112"/>
        <v>-300</v>
      </c>
      <c r="I222" s="112">
        <f t="shared" si="116"/>
        <v>2200</v>
      </c>
      <c r="J222" s="112">
        <f t="shared" si="116"/>
        <v>994.85500000000002</v>
      </c>
      <c r="K222" s="112">
        <f t="shared" si="116"/>
        <v>1800</v>
      </c>
      <c r="L222" s="112">
        <f t="shared" si="103"/>
        <v>81.818181818181827</v>
      </c>
    </row>
    <row r="223" spans="1:12" s="184" customFormat="1" ht="24">
      <c r="A223" s="119" t="s">
        <v>596</v>
      </c>
      <c r="B223" s="120" t="s">
        <v>407</v>
      </c>
      <c r="C223" s="120" t="s">
        <v>432</v>
      </c>
      <c r="D223" s="120" t="s">
        <v>483</v>
      </c>
      <c r="E223" s="130" t="s">
        <v>346</v>
      </c>
      <c r="F223" s="120" t="s">
        <v>84</v>
      </c>
      <c r="G223" s="121">
        <f t="shared" si="116"/>
        <v>2500</v>
      </c>
      <c r="H223" s="134">
        <f t="shared" si="112"/>
        <v>-300</v>
      </c>
      <c r="I223" s="121">
        <f t="shared" si="116"/>
        <v>2200</v>
      </c>
      <c r="J223" s="121">
        <f t="shared" si="116"/>
        <v>994.85500000000002</v>
      </c>
      <c r="K223" s="121">
        <f t="shared" si="116"/>
        <v>1800</v>
      </c>
      <c r="L223" s="121">
        <f t="shared" si="103"/>
        <v>81.818181818181827</v>
      </c>
    </row>
    <row r="224" spans="1:12" s="184" customFormat="1" ht="24">
      <c r="A224" s="119" t="s">
        <v>85</v>
      </c>
      <c r="B224" s="120" t="s">
        <v>407</v>
      </c>
      <c r="C224" s="120" t="s">
        <v>432</v>
      </c>
      <c r="D224" s="120" t="s">
        <v>483</v>
      </c>
      <c r="E224" s="130" t="s">
        <v>346</v>
      </c>
      <c r="F224" s="120" t="s">
        <v>86</v>
      </c>
      <c r="G224" s="121">
        <v>2500</v>
      </c>
      <c r="H224" s="134">
        <f t="shared" si="112"/>
        <v>-300</v>
      </c>
      <c r="I224" s="121">
        <f>2500-300</f>
        <v>2200</v>
      </c>
      <c r="J224" s="121">
        <v>994.85500000000002</v>
      </c>
      <c r="K224" s="121">
        <f>2500-300-400</f>
        <v>1800</v>
      </c>
      <c r="L224" s="121">
        <f t="shared" si="103"/>
        <v>81.818181818181827</v>
      </c>
    </row>
    <row r="225" spans="1:12" s="184" customFormat="1" ht="31.5">
      <c r="A225" s="113" t="s">
        <v>185</v>
      </c>
      <c r="B225" s="116" t="s">
        <v>408</v>
      </c>
      <c r="C225" s="117"/>
      <c r="D225" s="117"/>
      <c r="E225" s="111"/>
      <c r="F225" s="111"/>
      <c r="G225" s="112">
        <f>G226+G250+G257</f>
        <v>20379.75</v>
      </c>
      <c r="H225" s="134">
        <f t="shared" si="112"/>
        <v>-122.23341000000073</v>
      </c>
      <c r="I225" s="118">
        <f>I226+I250+I257</f>
        <v>20257.516589999999</v>
      </c>
      <c r="J225" s="118">
        <f t="shared" ref="J225" si="117">J226+J250+J257</f>
        <v>15020.400000000001</v>
      </c>
      <c r="K225" s="118">
        <f>K226+K250+K257</f>
        <v>19557.516589999999</v>
      </c>
      <c r="L225" s="118">
        <f>K225/I225*100</f>
        <v>96.544492525083001</v>
      </c>
    </row>
    <row r="226" spans="1:12" s="184" customFormat="1">
      <c r="A226" s="110" t="s">
        <v>114</v>
      </c>
      <c r="B226" s="111" t="s">
        <v>408</v>
      </c>
      <c r="C226" s="111" t="s">
        <v>76</v>
      </c>
      <c r="D226" s="111" t="s">
        <v>77</v>
      </c>
      <c r="E226" s="111"/>
      <c r="F226" s="111"/>
      <c r="G226" s="112">
        <f>G227+G238+G244</f>
        <v>17504.75</v>
      </c>
      <c r="H226" s="134">
        <f t="shared" si="112"/>
        <v>0</v>
      </c>
      <c r="I226" s="112">
        <f>I227+I238+I244</f>
        <v>17504.75</v>
      </c>
      <c r="J226" s="112">
        <f t="shared" ref="J226" si="118">J227+J238+J244</f>
        <v>13681.606000000002</v>
      </c>
      <c r="K226" s="112">
        <f>K227+K238+K244</f>
        <v>17304.75</v>
      </c>
      <c r="L226" s="112">
        <f>K226/I226*100</f>
        <v>98.857452977049093</v>
      </c>
    </row>
    <row r="227" spans="1:12" s="184" customFormat="1" ht="36">
      <c r="A227" s="110" t="s">
        <v>312</v>
      </c>
      <c r="B227" s="111" t="s">
        <v>408</v>
      </c>
      <c r="C227" s="111" t="s">
        <v>76</v>
      </c>
      <c r="D227" s="111" t="s">
        <v>78</v>
      </c>
      <c r="E227" s="111"/>
      <c r="F227" s="111"/>
      <c r="G227" s="112">
        <f>G228</f>
        <v>17010</v>
      </c>
      <c r="H227" s="134">
        <f t="shared" si="112"/>
        <v>0</v>
      </c>
      <c r="I227" s="112">
        <f>I228</f>
        <v>17010</v>
      </c>
      <c r="J227" s="112">
        <f t="shared" ref="J227:J228" si="119">J228</f>
        <v>13540.506000000001</v>
      </c>
      <c r="K227" s="112">
        <f>K228</f>
        <v>17010</v>
      </c>
      <c r="L227" s="112">
        <f t="shared" ref="L227:L263" si="120">K227/I227*100</f>
        <v>100</v>
      </c>
    </row>
    <row r="228" spans="1:12" s="184" customFormat="1">
      <c r="A228" s="145" t="s">
        <v>74</v>
      </c>
      <c r="B228" s="125" t="s">
        <v>408</v>
      </c>
      <c r="C228" s="125" t="s">
        <v>76</v>
      </c>
      <c r="D228" s="125" t="s">
        <v>78</v>
      </c>
      <c r="E228" s="125" t="s">
        <v>214</v>
      </c>
      <c r="F228" s="125"/>
      <c r="G228" s="126">
        <f>G229</f>
        <v>17010</v>
      </c>
      <c r="H228" s="134">
        <f t="shared" si="112"/>
        <v>0</v>
      </c>
      <c r="I228" s="126">
        <f>I229</f>
        <v>17010</v>
      </c>
      <c r="J228" s="126">
        <f t="shared" si="119"/>
        <v>13540.506000000001</v>
      </c>
      <c r="K228" s="126">
        <f>K229</f>
        <v>17010</v>
      </c>
      <c r="L228" s="126">
        <f t="shared" si="120"/>
        <v>100</v>
      </c>
    </row>
    <row r="229" spans="1:12" s="184" customFormat="1">
      <c r="A229" s="127" t="s">
        <v>304</v>
      </c>
      <c r="B229" s="111" t="s">
        <v>408</v>
      </c>
      <c r="C229" s="111" t="s">
        <v>76</v>
      </c>
      <c r="D229" s="111" t="s">
        <v>78</v>
      </c>
      <c r="E229" s="111" t="s">
        <v>215</v>
      </c>
      <c r="F229" s="111"/>
      <c r="G229" s="112">
        <f>G230+G233</f>
        <v>17010</v>
      </c>
      <c r="H229" s="134">
        <f t="shared" si="112"/>
        <v>0</v>
      </c>
      <c r="I229" s="112">
        <f>I230+I233</f>
        <v>17010</v>
      </c>
      <c r="J229" s="112">
        <f t="shared" ref="J229" si="121">J230+J233</f>
        <v>13540.506000000001</v>
      </c>
      <c r="K229" s="112">
        <f>K230+K233</f>
        <v>17010</v>
      </c>
      <c r="L229" s="112">
        <f t="shared" si="120"/>
        <v>100</v>
      </c>
    </row>
    <row r="230" spans="1:12" s="184" customFormat="1" ht="24">
      <c r="A230" s="127" t="s">
        <v>303</v>
      </c>
      <c r="B230" s="111" t="s">
        <v>408</v>
      </c>
      <c r="C230" s="111" t="s">
        <v>76</v>
      </c>
      <c r="D230" s="111" t="s">
        <v>78</v>
      </c>
      <c r="E230" s="111" t="s">
        <v>216</v>
      </c>
      <c r="F230" s="111"/>
      <c r="G230" s="112">
        <f>G231</f>
        <v>14450</v>
      </c>
      <c r="H230" s="134">
        <f t="shared" si="112"/>
        <v>0</v>
      </c>
      <c r="I230" s="112">
        <f>I231</f>
        <v>14450</v>
      </c>
      <c r="J230" s="112">
        <f t="shared" ref="J230:J231" si="122">J231</f>
        <v>11797.709000000001</v>
      </c>
      <c r="K230" s="112">
        <f>K231</f>
        <v>14450</v>
      </c>
      <c r="L230" s="112">
        <f t="shared" si="120"/>
        <v>100</v>
      </c>
    </row>
    <row r="231" spans="1:12" s="184" customFormat="1" ht="36">
      <c r="A231" s="119" t="s">
        <v>79</v>
      </c>
      <c r="B231" s="120" t="s">
        <v>408</v>
      </c>
      <c r="C231" s="120" t="s">
        <v>76</v>
      </c>
      <c r="D231" s="120" t="s">
        <v>78</v>
      </c>
      <c r="E231" s="120" t="s">
        <v>216</v>
      </c>
      <c r="F231" s="120" t="s">
        <v>80</v>
      </c>
      <c r="G231" s="121">
        <f>G232</f>
        <v>14450</v>
      </c>
      <c r="H231" s="134">
        <f t="shared" si="112"/>
        <v>0</v>
      </c>
      <c r="I231" s="121">
        <f>I232</f>
        <v>14450</v>
      </c>
      <c r="J231" s="121">
        <f t="shared" si="122"/>
        <v>11797.709000000001</v>
      </c>
      <c r="K231" s="121">
        <f>K232</f>
        <v>14450</v>
      </c>
      <c r="L231" s="121">
        <f t="shared" si="120"/>
        <v>100</v>
      </c>
    </row>
    <row r="232" spans="1:12" s="184" customFormat="1">
      <c r="A232" s="119" t="s">
        <v>81</v>
      </c>
      <c r="B232" s="120" t="s">
        <v>408</v>
      </c>
      <c r="C232" s="120" t="s">
        <v>76</v>
      </c>
      <c r="D232" s="120" t="s">
        <v>78</v>
      </c>
      <c r="E232" s="120" t="s">
        <v>216</v>
      </c>
      <c r="F232" s="120" t="s">
        <v>82</v>
      </c>
      <c r="G232" s="121">
        <f>11050+70+3330</f>
        <v>14450</v>
      </c>
      <c r="H232" s="134">
        <f t="shared" si="112"/>
        <v>0</v>
      </c>
      <c r="I232" s="121">
        <f>11050+70+3330</f>
        <v>14450</v>
      </c>
      <c r="J232" s="121">
        <v>11797.709000000001</v>
      </c>
      <c r="K232" s="121">
        <f>11050+70+3330</f>
        <v>14450</v>
      </c>
      <c r="L232" s="121">
        <f t="shared" si="120"/>
        <v>100</v>
      </c>
    </row>
    <row r="233" spans="1:12" s="184" customFormat="1">
      <c r="A233" s="110" t="s">
        <v>83</v>
      </c>
      <c r="B233" s="111" t="s">
        <v>408</v>
      </c>
      <c r="C233" s="111" t="s">
        <v>76</v>
      </c>
      <c r="D233" s="111" t="s">
        <v>78</v>
      </c>
      <c r="E233" s="111" t="s">
        <v>217</v>
      </c>
      <c r="F233" s="111"/>
      <c r="G233" s="112">
        <f>G234+G236</f>
        <v>2560</v>
      </c>
      <c r="H233" s="134">
        <f t="shared" si="112"/>
        <v>0</v>
      </c>
      <c r="I233" s="112">
        <f>I234+I236</f>
        <v>2560</v>
      </c>
      <c r="J233" s="112">
        <f t="shared" ref="J233" si="123">J234+J236</f>
        <v>1742.797</v>
      </c>
      <c r="K233" s="112">
        <f>K234+K236</f>
        <v>2560</v>
      </c>
      <c r="L233" s="112">
        <f t="shared" si="120"/>
        <v>100</v>
      </c>
    </row>
    <row r="234" spans="1:12" s="184" customFormat="1" ht="24">
      <c r="A234" s="119" t="s">
        <v>596</v>
      </c>
      <c r="B234" s="120" t="s">
        <v>408</v>
      </c>
      <c r="C234" s="120" t="s">
        <v>76</v>
      </c>
      <c r="D234" s="120" t="s">
        <v>78</v>
      </c>
      <c r="E234" s="120" t="s">
        <v>217</v>
      </c>
      <c r="F234" s="120" t="s">
        <v>84</v>
      </c>
      <c r="G234" s="121">
        <f>G235</f>
        <v>2410</v>
      </c>
      <c r="H234" s="134">
        <f t="shared" si="112"/>
        <v>0</v>
      </c>
      <c r="I234" s="121">
        <f>I235</f>
        <v>2410</v>
      </c>
      <c r="J234" s="121">
        <f t="shared" ref="J234" si="124">J235</f>
        <v>1623.4649999999999</v>
      </c>
      <c r="K234" s="121">
        <f>K235</f>
        <v>2410</v>
      </c>
      <c r="L234" s="121">
        <f t="shared" si="120"/>
        <v>100</v>
      </c>
    </row>
    <row r="235" spans="1:12" s="184" customFormat="1" ht="24">
      <c r="A235" s="119" t="s">
        <v>85</v>
      </c>
      <c r="B235" s="120" t="s">
        <v>408</v>
      </c>
      <c r="C235" s="120" t="s">
        <v>76</v>
      </c>
      <c r="D235" s="120" t="s">
        <v>78</v>
      </c>
      <c r="E235" s="120" t="s">
        <v>217</v>
      </c>
      <c r="F235" s="120" t="s">
        <v>86</v>
      </c>
      <c r="G235" s="121">
        <f>500+1170+250+240+50+200</f>
        <v>2410</v>
      </c>
      <c r="H235" s="134">
        <f t="shared" si="112"/>
        <v>0</v>
      </c>
      <c r="I235" s="121">
        <f>500+1170+250+240+50+200</f>
        <v>2410</v>
      </c>
      <c r="J235" s="121">
        <v>1623.4649999999999</v>
      </c>
      <c r="K235" s="121">
        <f>500+1170+250+240+50+200</f>
        <v>2410</v>
      </c>
      <c r="L235" s="121">
        <f t="shared" si="120"/>
        <v>100</v>
      </c>
    </row>
    <row r="236" spans="1:12" s="184" customFormat="1">
      <c r="A236" s="119" t="s">
        <v>87</v>
      </c>
      <c r="B236" s="120" t="s">
        <v>408</v>
      </c>
      <c r="C236" s="120" t="s">
        <v>76</v>
      </c>
      <c r="D236" s="120" t="s">
        <v>78</v>
      </c>
      <c r="E236" s="120" t="s">
        <v>217</v>
      </c>
      <c r="F236" s="120" t="s">
        <v>88</v>
      </c>
      <c r="G236" s="121">
        <f>G237</f>
        <v>150</v>
      </c>
      <c r="H236" s="134">
        <f t="shared" si="112"/>
        <v>0</v>
      </c>
      <c r="I236" s="121">
        <f>I237</f>
        <v>150</v>
      </c>
      <c r="J236" s="121">
        <f t="shared" ref="J236" si="125">J237</f>
        <v>119.33199999999999</v>
      </c>
      <c r="K236" s="121">
        <f>K237</f>
        <v>150</v>
      </c>
      <c r="L236" s="121">
        <f t="shared" si="120"/>
        <v>100</v>
      </c>
    </row>
    <row r="237" spans="1:12" s="184" customFormat="1">
      <c r="A237" s="119" t="s">
        <v>514</v>
      </c>
      <c r="B237" s="120" t="s">
        <v>408</v>
      </c>
      <c r="C237" s="120" t="s">
        <v>76</v>
      </c>
      <c r="D237" s="120" t="s">
        <v>78</v>
      </c>
      <c r="E237" s="120" t="s">
        <v>217</v>
      </c>
      <c r="F237" s="120" t="s">
        <v>89</v>
      </c>
      <c r="G237" s="121">
        <v>150</v>
      </c>
      <c r="H237" s="134">
        <f t="shared" si="112"/>
        <v>0</v>
      </c>
      <c r="I237" s="121">
        <v>150</v>
      </c>
      <c r="J237" s="121">
        <v>119.33199999999999</v>
      </c>
      <c r="K237" s="121">
        <v>150</v>
      </c>
      <c r="L237" s="121">
        <f t="shared" si="120"/>
        <v>100</v>
      </c>
    </row>
    <row r="238" spans="1:12" s="184" customFormat="1">
      <c r="A238" s="110" t="s">
        <v>454</v>
      </c>
      <c r="B238" s="111" t="s">
        <v>408</v>
      </c>
      <c r="C238" s="111" t="s">
        <v>76</v>
      </c>
      <c r="D238" s="111" t="s">
        <v>432</v>
      </c>
      <c r="E238" s="111"/>
      <c r="F238" s="111"/>
      <c r="G238" s="134">
        <f>G239</f>
        <v>94.75</v>
      </c>
      <c r="H238" s="134">
        <f t="shared" si="112"/>
        <v>0</v>
      </c>
      <c r="I238" s="134">
        <f>I239</f>
        <v>94.75</v>
      </c>
      <c r="J238" s="134">
        <f t="shared" ref="J238:J242" si="126">J239</f>
        <v>0</v>
      </c>
      <c r="K238" s="134">
        <f>K239</f>
        <v>94.75</v>
      </c>
      <c r="L238" s="112">
        <f t="shared" si="120"/>
        <v>100</v>
      </c>
    </row>
    <row r="239" spans="1:12" s="184" customFormat="1">
      <c r="A239" s="145" t="s">
        <v>74</v>
      </c>
      <c r="B239" s="125" t="s">
        <v>408</v>
      </c>
      <c r="C239" s="125" t="s">
        <v>76</v>
      </c>
      <c r="D239" s="125" t="s">
        <v>432</v>
      </c>
      <c r="E239" s="125" t="s">
        <v>214</v>
      </c>
      <c r="F239" s="120"/>
      <c r="G239" s="136">
        <f>G240</f>
        <v>94.75</v>
      </c>
      <c r="H239" s="134">
        <f t="shared" si="112"/>
        <v>0</v>
      </c>
      <c r="I239" s="136">
        <f>I240</f>
        <v>94.75</v>
      </c>
      <c r="J239" s="136">
        <f t="shared" si="126"/>
        <v>0</v>
      </c>
      <c r="K239" s="136">
        <f>K240</f>
        <v>94.75</v>
      </c>
      <c r="L239" s="112">
        <f t="shared" si="120"/>
        <v>100</v>
      </c>
    </row>
    <row r="240" spans="1:12" s="184" customFormat="1">
      <c r="A240" s="127" t="s">
        <v>304</v>
      </c>
      <c r="B240" s="111" t="s">
        <v>408</v>
      </c>
      <c r="C240" s="111" t="s">
        <v>76</v>
      </c>
      <c r="D240" s="111" t="s">
        <v>432</v>
      </c>
      <c r="E240" s="111" t="s">
        <v>215</v>
      </c>
      <c r="F240" s="120"/>
      <c r="G240" s="134">
        <f>G241</f>
        <v>94.75</v>
      </c>
      <c r="H240" s="134">
        <f t="shared" si="112"/>
        <v>0</v>
      </c>
      <c r="I240" s="134">
        <f>I241</f>
        <v>94.75</v>
      </c>
      <c r="J240" s="134">
        <f t="shared" si="126"/>
        <v>0</v>
      </c>
      <c r="K240" s="134">
        <f>K241</f>
        <v>94.75</v>
      </c>
      <c r="L240" s="112">
        <f t="shared" si="120"/>
        <v>100</v>
      </c>
    </row>
    <row r="241" spans="1:12" s="184" customFormat="1" ht="36">
      <c r="A241" s="110" t="s">
        <v>457</v>
      </c>
      <c r="B241" s="111" t="s">
        <v>408</v>
      </c>
      <c r="C241" s="111" t="s">
        <v>76</v>
      </c>
      <c r="D241" s="111" t="s">
        <v>432</v>
      </c>
      <c r="E241" s="111" t="s">
        <v>351</v>
      </c>
      <c r="F241" s="111"/>
      <c r="G241" s="134">
        <f>G242</f>
        <v>94.75</v>
      </c>
      <c r="H241" s="134">
        <f t="shared" si="112"/>
        <v>0</v>
      </c>
      <c r="I241" s="134">
        <f>I242</f>
        <v>94.75</v>
      </c>
      <c r="J241" s="134">
        <f t="shared" si="126"/>
        <v>0</v>
      </c>
      <c r="K241" s="134">
        <f>K242</f>
        <v>94.75</v>
      </c>
      <c r="L241" s="112">
        <f t="shared" si="120"/>
        <v>100</v>
      </c>
    </row>
    <row r="242" spans="1:12" s="184" customFormat="1" ht="24">
      <c r="A242" s="119" t="s">
        <v>596</v>
      </c>
      <c r="B242" s="120" t="s">
        <v>408</v>
      </c>
      <c r="C242" s="120" t="s">
        <v>76</v>
      </c>
      <c r="D242" s="120" t="s">
        <v>432</v>
      </c>
      <c r="E242" s="120" t="s">
        <v>351</v>
      </c>
      <c r="F242" s="120" t="s">
        <v>84</v>
      </c>
      <c r="G242" s="135">
        <f>G243</f>
        <v>94.75</v>
      </c>
      <c r="H242" s="134">
        <f t="shared" si="112"/>
        <v>0</v>
      </c>
      <c r="I242" s="135">
        <f>I243</f>
        <v>94.75</v>
      </c>
      <c r="J242" s="135">
        <f t="shared" si="126"/>
        <v>0</v>
      </c>
      <c r="K242" s="135">
        <f>K243</f>
        <v>94.75</v>
      </c>
      <c r="L242" s="121">
        <f t="shared" si="120"/>
        <v>100</v>
      </c>
    </row>
    <row r="243" spans="1:12" s="184" customFormat="1" ht="24">
      <c r="A243" s="119" t="s">
        <v>85</v>
      </c>
      <c r="B243" s="120" t="s">
        <v>408</v>
      </c>
      <c r="C243" s="120" t="s">
        <v>76</v>
      </c>
      <c r="D243" s="120" t="s">
        <v>432</v>
      </c>
      <c r="E243" s="120" t="s">
        <v>351</v>
      </c>
      <c r="F243" s="120" t="s">
        <v>86</v>
      </c>
      <c r="G243" s="135">
        <v>94.75</v>
      </c>
      <c r="H243" s="134">
        <f t="shared" si="112"/>
        <v>0</v>
      </c>
      <c r="I243" s="135">
        <v>94.75</v>
      </c>
      <c r="J243" s="135">
        <v>0</v>
      </c>
      <c r="K243" s="135">
        <v>94.75</v>
      </c>
      <c r="L243" s="121">
        <f t="shared" si="120"/>
        <v>100</v>
      </c>
    </row>
    <row r="244" spans="1:12" s="184" customFormat="1">
      <c r="A244" s="153" t="s">
        <v>318</v>
      </c>
      <c r="B244" s="111" t="s">
        <v>408</v>
      </c>
      <c r="C244" s="111" t="s">
        <v>76</v>
      </c>
      <c r="D244" s="111" t="s">
        <v>93</v>
      </c>
      <c r="E244" s="111"/>
      <c r="F244" s="111"/>
      <c r="G244" s="112">
        <f>G245</f>
        <v>400</v>
      </c>
      <c r="H244" s="134">
        <f t="shared" si="112"/>
        <v>0</v>
      </c>
      <c r="I244" s="112">
        <f>I245</f>
        <v>400</v>
      </c>
      <c r="J244" s="112">
        <f t="shared" ref="J244:J248" si="127">J245</f>
        <v>141.1</v>
      </c>
      <c r="K244" s="112">
        <f>K245</f>
        <v>200</v>
      </c>
      <c r="L244" s="112">
        <f t="shared" si="120"/>
        <v>50</v>
      </c>
    </row>
    <row r="245" spans="1:12" s="184" customFormat="1" ht="27">
      <c r="A245" s="158" t="s">
        <v>579</v>
      </c>
      <c r="B245" s="114" t="s">
        <v>408</v>
      </c>
      <c r="C245" s="114" t="s">
        <v>76</v>
      </c>
      <c r="D245" s="114" t="s">
        <v>93</v>
      </c>
      <c r="E245" s="114" t="s">
        <v>103</v>
      </c>
      <c r="F245" s="114"/>
      <c r="G245" s="115">
        <f>G246</f>
        <v>400</v>
      </c>
      <c r="H245" s="134">
        <f t="shared" si="112"/>
        <v>0</v>
      </c>
      <c r="I245" s="115">
        <f>I246</f>
        <v>400</v>
      </c>
      <c r="J245" s="115">
        <f t="shared" si="127"/>
        <v>141.1</v>
      </c>
      <c r="K245" s="115">
        <f>K246</f>
        <v>200</v>
      </c>
      <c r="L245" s="126">
        <f t="shared" si="120"/>
        <v>50</v>
      </c>
    </row>
    <row r="246" spans="1:12" s="184" customFormat="1" ht="24">
      <c r="A246" s="153" t="s">
        <v>501</v>
      </c>
      <c r="B246" s="111" t="s">
        <v>408</v>
      </c>
      <c r="C246" s="111" t="s">
        <v>76</v>
      </c>
      <c r="D246" s="111" t="s">
        <v>93</v>
      </c>
      <c r="E246" s="111" t="s">
        <v>503</v>
      </c>
      <c r="F246" s="111"/>
      <c r="G246" s="112">
        <f>G247</f>
        <v>400</v>
      </c>
      <c r="H246" s="134">
        <f t="shared" si="112"/>
        <v>0</v>
      </c>
      <c r="I246" s="112">
        <f>I247</f>
        <v>400</v>
      </c>
      <c r="J246" s="112">
        <f t="shared" si="127"/>
        <v>141.1</v>
      </c>
      <c r="K246" s="112">
        <f>K247</f>
        <v>200</v>
      </c>
      <c r="L246" s="112">
        <f t="shared" si="120"/>
        <v>50</v>
      </c>
    </row>
    <row r="247" spans="1:12" s="184" customFormat="1" ht="24">
      <c r="A247" s="140" t="s">
        <v>502</v>
      </c>
      <c r="B247" s="125" t="s">
        <v>408</v>
      </c>
      <c r="C247" s="125" t="s">
        <v>76</v>
      </c>
      <c r="D247" s="125" t="s">
        <v>93</v>
      </c>
      <c r="E247" s="125" t="s">
        <v>580</v>
      </c>
      <c r="F247" s="125"/>
      <c r="G247" s="126">
        <f>G248</f>
        <v>400</v>
      </c>
      <c r="H247" s="134">
        <f t="shared" si="112"/>
        <v>0</v>
      </c>
      <c r="I247" s="126">
        <f>I248</f>
        <v>400</v>
      </c>
      <c r="J247" s="126">
        <f t="shared" si="127"/>
        <v>141.1</v>
      </c>
      <c r="K247" s="126">
        <f>K248</f>
        <v>200</v>
      </c>
      <c r="L247" s="126">
        <f t="shared" si="120"/>
        <v>50</v>
      </c>
    </row>
    <row r="248" spans="1:12" s="184" customFormat="1" ht="36">
      <c r="A248" s="119" t="s">
        <v>79</v>
      </c>
      <c r="B248" s="120" t="s">
        <v>408</v>
      </c>
      <c r="C248" s="120" t="s">
        <v>76</v>
      </c>
      <c r="D248" s="120" t="s">
        <v>93</v>
      </c>
      <c r="E248" s="120" t="s">
        <v>580</v>
      </c>
      <c r="F248" s="120" t="s">
        <v>80</v>
      </c>
      <c r="G248" s="121">
        <f>G249</f>
        <v>400</v>
      </c>
      <c r="H248" s="134">
        <f t="shared" si="112"/>
        <v>0</v>
      </c>
      <c r="I248" s="121">
        <f>I249</f>
        <v>400</v>
      </c>
      <c r="J248" s="121">
        <f t="shared" si="127"/>
        <v>141.1</v>
      </c>
      <c r="K248" s="121">
        <f>K249</f>
        <v>200</v>
      </c>
      <c r="L248" s="121">
        <f t="shared" si="120"/>
        <v>50</v>
      </c>
    </row>
    <row r="249" spans="1:12" s="184" customFormat="1">
      <c r="A249" s="119" t="s">
        <v>81</v>
      </c>
      <c r="B249" s="120" t="s">
        <v>408</v>
      </c>
      <c r="C249" s="120" t="s">
        <v>76</v>
      </c>
      <c r="D249" s="120" t="s">
        <v>93</v>
      </c>
      <c r="E249" s="120" t="s">
        <v>580</v>
      </c>
      <c r="F249" s="120" t="s">
        <v>82</v>
      </c>
      <c r="G249" s="121">
        <v>400</v>
      </c>
      <c r="H249" s="134">
        <f t="shared" si="112"/>
        <v>0</v>
      </c>
      <c r="I249" s="121">
        <v>400</v>
      </c>
      <c r="J249" s="121">
        <v>141.1</v>
      </c>
      <c r="K249" s="121">
        <f>400-200</f>
        <v>200</v>
      </c>
      <c r="L249" s="121">
        <f t="shared" si="120"/>
        <v>50</v>
      </c>
    </row>
    <row r="250" spans="1:12" s="184" customFormat="1">
      <c r="A250" s="110" t="s">
        <v>375</v>
      </c>
      <c r="B250" s="111" t="s">
        <v>408</v>
      </c>
      <c r="C250" s="111" t="s">
        <v>432</v>
      </c>
      <c r="D250" s="111" t="s">
        <v>77</v>
      </c>
      <c r="E250" s="120"/>
      <c r="F250" s="120"/>
      <c r="G250" s="112">
        <f t="shared" ref="G250:K255" si="128">G251</f>
        <v>2500</v>
      </c>
      <c r="H250" s="134">
        <f t="shared" si="112"/>
        <v>0</v>
      </c>
      <c r="I250" s="112">
        <f t="shared" si="128"/>
        <v>2500</v>
      </c>
      <c r="J250" s="112">
        <f t="shared" si="128"/>
        <v>1267.0229999999999</v>
      </c>
      <c r="K250" s="112">
        <f t="shared" si="128"/>
        <v>2100</v>
      </c>
      <c r="L250" s="112">
        <f t="shared" si="120"/>
        <v>84</v>
      </c>
    </row>
    <row r="251" spans="1:12" s="184" customFormat="1">
      <c r="A251" s="110" t="s">
        <v>379</v>
      </c>
      <c r="B251" s="111" t="s">
        <v>408</v>
      </c>
      <c r="C251" s="111" t="s">
        <v>432</v>
      </c>
      <c r="D251" s="111" t="s">
        <v>483</v>
      </c>
      <c r="E251" s="125"/>
      <c r="F251" s="125"/>
      <c r="G251" s="112">
        <f t="shared" si="128"/>
        <v>2500</v>
      </c>
      <c r="H251" s="134">
        <f t="shared" si="112"/>
        <v>0</v>
      </c>
      <c r="I251" s="112">
        <f t="shared" si="128"/>
        <v>2500</v>
      </c>
      <c r="J251" s="112">
        <f t="shared" si="128"/>
        <v>1267.0229999999999</v>
      </c>
      <c r="K251" s="112">
        <f t="shared" si="128"/>
        <v>2100</v>
      </c>
      <c r="L251" s="112">
        <f t="shared" si="120"/>
        <v>84</v>
      </c>
    </row>
    <row r="252" spans="1:12" s="184" customFormat="1">
      <c r="A252" s="145" t="s">
        <v>74</v>
      </c>
      <c r="B252" s="125" t="s">
        <v>408</v>
      </c>
      <c r="C252" s="125" t="s">
        <v>432</v>
      </c>
      <c r="D252" s="125" t="s">
        <v>483</v>
      </c>
      <c r="E252" s="125" t="s">
        <v>214</v>
      </c>
      <c r="F252" s="125"/>
      <c r="G252" s="126">
        <f t="shared" si="128"/>
        <v>2500</v>
      </c>
      <c r="H252" s="134">
        <f t="shared" si="112"/>
        <v>0</v>
      </c>
      <c r="I252" s="126">
        <f t="shared" si="128"/>
        <v>2500</v>
      </c>
      <c r="J252" s="126">
        <f t="shared" si="128"/>
        <v>1267.0229999999999</v>
      </c>
      <c r="K252" s="126">
        <f t="shared" si="128"/>
        <v>2100</v>
      </c>
      <c r="L252" s="126">
        <f t="shared" si="120"/>
        <v>84</v>
      </c>
    </row>
    <row r="253" spans="1:12" s="184" customFormat="1">
      <c r="A253" s="110" t="s">
        <v>304</v>
      </c>
      <c r="B253" s="111" t="s">
        <v>408</v>
      </c>
      <c r="C253" s="111" t="s">
        <v>432</v>
      </c>
      <c r="D253" s="111" t="s">
        <v>483</v>
      </c>
      <c r="E253" s="111" t="s">
        <v>215</v>
      </c>
      <c r="F253" s="111"/>
      <c r="G253" s="112">
        <f t="shared" si="128"/>
        <v>2500</v>
      </c>
      <c r="H253" s="134">
        <f t="shared" si="112"/>
        <v>0</v>
      </c>
      <c r="I253" s="112">
        <f t="shared" si="128"/>
        <v>2500</v>
      </c>
      <c r="J253" s="112">
        <f t="shared" si="128"/>
        <v>1267.0229999999999</v>
      </c>
      <c r="K253" s="112">
        <f t="shared" si="128"/>
        <v>2100</v>
      </c>
      <c r="L253" s="112">
        <f t="shared" si="120"/>
        <v>84</v>
      </c>
    </row>
    <row r="254" spans="1:12" s="184" customFormat="1">
      <c r="A254" s="110" t="s">
        <v>696</v>
      </c>
      <c r="B254" s="111" t="s">
        <v>408</v>
      </c>
      <c r="C254" s="111" t="s">
        <v>432</v>
      </c>
      <c r="D254" s="111" t="s">
        <v>483</v>
      </c>
      <c r="E254" s="142" t="s">
        <v>346</v>
      </c>
      <c r="F254" s="111"/>
      <c r="G254" s="112">
        <f t="shared" si="128"/>
        <v>2500</v>
      </c>
      <c r="H254" s="134">
        <f t="shared" si="112"/>
        <v>0</v>
      </c>
      <c r="I254" s="112">
        <f t="shared" si="128"/>
        <v>2500</v>
      </c>
      <c r="J254" s="112">
        <f t="shared" si="128"/>
        <v>1267.0229999999999</v>
      </c>
      <c r="K254" s="112">
        <f t="shared" si="128"/>
        <v>2100</v>
      </c>
      <c r="L254" s="112">
        <f t="shared" si="120"/>
        <v>84</v>
      </c>
    </row>
    <row r="255" spans="1:12" s="184" customFormat="1" ht="24">
      <c r="A255" s="119" t="s">
        <v>596</v>
      </c>
      <c r="B255" s="120" t="s">
        <v>408</v>
      </c>
      <c r="C255" s="120" t="s">
        <v>432</v>
      </c>
      <c r="D255" s="120" t="s">
        <v>483</v>
      </c>
      <c r="E255" s="130" t="s">
        <v>346</v>
      </c>
      <c r="F255" s="120" t="s">
        <v>84</v>
      </c>
      <c r="G255" s="121">
        <f t="shared" si="128"/>
        <v>2500</v>
      </c>
      <c r="H255" s="134">
        <f t="shared" si="112"/>
        <v>0</v>
      </c>
      <c r="I255" s="121">
        <f t="shared" si="128"/>
        <v>2500</v>
      </c>
      <c r="J255" s="121">
        <f t="shared" si="128"/>
        <v>1267.0229999999999</v>
      </c>
      <c r="K255" s="121">
        <f t="shared" si="128"/>
        <v>2100</v>
      </c>
      <c r="L255" s="121">
        <f t="shared" si="120"/>
        <v>84</v>
      </c>
    </row>
    <row r="256" spans="1:12" s="184" customFormat="1" ht="24">
      <c r="A256" s="119" t="s">
        <v>85</v>
      </c>
      <c r="B256" s="120" t="s">
        <v>408</v>
      </c>
      <c r="C256" s="120" t="s">
        <v>432</v>
      </c>
      <c r="D256" s="120" t="s">
        <v>483</v>
      </c>
      <c r="E256" s="130" t="s">
        <v>346</v>
      </c>
      <c r="F256" s="120" t="s">
        <v>86</v>
      </c>
      <c r="G256" s="121">
        <v>2500</v>
      </c>
      <c r="H256" s="134">
        <f t="shared" si="112"/>
        <v>0</v>
      </c>
      <c r="I256" s="121">
        <v>2500</v>
      </c>
      <c r="J256" s="121">
        <v>1267.0229999999999</v>
      </c>
      <c r="K256" s="121">
        <f>2500-400</f>
        <v>2100</v>
      </c>
      <c r="L256" s="121">
        <f t="shared" si="120"/>
        <v>84</v>
      </c>
    </row>
    <row r="257" spans="1:12" s="184" customFormat="1">
      <c r="A257" s="110" t="s">
        <v>381</v>
      </c>
      <c r="B257" s="111" t="s">
        <v>408</v>
      </c>
      <c r="C257" s="111" t="s">
        <v>490</v>
      </c>
      <c r="D257" s="111" t="s">
        <v>77</v>
      </c>
      <c r="E257" s="120"/>
      <c r="F257" s="120"/>
      <c r="G257" s="112">
        <f t="shared" ref="G257:K262" si="129">G258</f>
        <v>375</v>
      </c>
      <c r="H257" s="134">
        <f t="shared" si="112"/>
        <v>-122.23340999999999</v>
      </c>
      <c r="I257" s="112">
        <f t="shared" si="129"/>
        <v>252.76659000000001</v>
      </c>
      <c r="J257" s="112">
        <f t="shared" si="129"/>
        <v>71.771000000000001</v>
      </c>
      <c r="K257" s="112">
        <f t="shared" si="129"/>
        <v>152.76659000000001</v>
      </c>
      <c r="L257" s="112">
        <f t="shared" si="120"/>
        <v>60.437809443091354</v>
      </c>
    </row>
    <row r="258" spans="1:12" s="184" customFormat="1">
      <c r="A258" s="110" t="s">
        <v>384</v>
      </c>
      <c r="B258" s="111" t="s">
        <v>408</v>
      </c>
      <c r="C258" s="111" t="s">
        <v>490</v>
      </c>
      <c r="D258" s="111" t="s">
        <v>490</v>
      </c>
      <c r="E258" s="111"/>
      <c r="F258" s="111"/>
      <c r="G258" s="112">
        <f t="shared" si="129"/>
        <v>375</v>
      </c>
      <c r="H258" s="134">
        <f t="shared" si="112"/>
        <v>-122.23340999999999</v>
      </c>
      <c r="I258" s="112">
        <f t="shared" si="129"/>
        <v>252.76659000000001</v>
      </c>
      <c r="J258" s="112">
        <f t="shared" si="129"/>
        <v>71.771000000000001</v>
      </c>
      <c r="K258" s="112">
        <f t="shared" si="129"/>
        <v>152.76659000000001</v>
      </c>
      <c r="L258" s="112">
        <f t="shared" si="120"/>
        <v>60.437809443091354</v>
      </c>
    </row>
    <row r="259" spans="1:12" s="184" customFormat="1">
      <c r="A259" s="145" t="s">
        <v>74</v>
      </c>
      <c r="B259" s="125" t="s">
        <v>408</v>
      </c>
      <c r="C259" s="125" t="s">
        <v>490</v>
      </c>
      <c r="D259" s="125" t="s">
        <v>490</v>
      </c>
      <c r="E259" s="125" t="s">
        <v>214</v>
      </c>
      <c r="F259" s="125"/>
      <c r="G259" s="126">
        <f t="shared" si="129"/>
        <v>375</v>
      </c>
      <c r="H259" s="134">
        <f t="shared" si="112"/>
        <v>-122.23340999999999</v>
      </c>
      <c r="I259" s="126">
        <f t="shared" si="129"/>
        <v>252.76659000000001</v>
      </c>
      <c r="J259" s="126">
        <f t="shared" si="129"/>
        <v>71.771000000000001</v>
      </c>
      <c r="K259" s="126">
        <f t="shared" si="129"/>
        <v>152.76659000000001</v>
      </c>
      <c r="L259" s="126">
        <f t="shared" si="120"/>
        <v>60.437809443091354</v>
      </c>
    </row>
    <row r="260" spans="1:12" s="184" customFormat="1">
      <c r="A260" s="127" t="s">
        <v>304</v>
      </c>
      <c r="B260" s="111" t="s">
        <v>408</v>
      </c>
      <c r="C260" s="111" t="s">
        <v>490</v>
      </c>
      <c r="D260" s="111" t="s">
        <v>490</v>
      </c>
      <c r="E260" s="111" t="s">
        <v>215</v>
      </c>
      <c r="F260" s="111"/>
      <c r="G260" s="112">
        <f t="shared" si="129"/>
        <v>375</v>
      </c>
      <c r="H260" s="134">
        <f t="shared" si="112"/>
        <v>-122.23340999999999</v>
      </c>
      <c r="I260" s="112">
        <f t="shared" si="129"/>
        <v>252.76659000000001</v>
      </c>
      <c r="J260" s="112">
        <f t="shared" si="129"/>
        <v>71.771000000000001</v>
      </c>
      <c r="K260" s="112">
        <f t="shared" si="129"/>
        <v>152.76659000000001</v>
      </c>
      <c r="L260" s="112">
        <f t="shared" si="120"/>
        <v>60.437809443091354</v>
      </c>
    </row>
    <row r="261" spans="1:12" s="184" customFormat="1">
      <c r="A261" s="145" t="s">
        <v>323</v>
      </c>
      <c r="B261" s="125" t="s">
        <v>408</v>
      </c>
      <c r="C261" s="125" t="s">
        <v>490</v>
      </c>
      <c r="D261" s="125" t="s">
        <v>490</v>
      </c>
      <c r="E261" s="125" t="s">
        <v>347</v>
      </c>
      <c r="F261" s="125"/>
      <c r="G261" s="126">
        <f t="shared" si="129"/>
        <v>375</v>
      </c>
      <c r="H261" s="134">
        <f t="shared" si="112"/>
        <v>-122.23340999999999</v>
      </c>
      <c r="I261" s="126">
        <f t="shared" si="129"/>
        <v>252.76659000000001</v>
      </c>
      <c r="J261" s="126">
        <f t="shared" si="129"/>
        <v>71.771000000000001</v>
      </c>
      <c r="K261" s="126">
        <f t="shared" si="129"/>
        <v>152.76659000000001</v>
      </c>
      <c r="L261" s="126">
        <f t="shared" si="120"/>
        <v>60.437809443091354</v>
      </c>
    </row>
    <row r="262" spans="1:12" s="184" customFormat="1" ht="24">
      <c r="A262" s="119" t="s">
        <v>596</v>
      </c>
      <c r="B262" s="120" t="s">
        <v>408</v>
      </c>
      <c r="C262" s="120" t="s">
        <v>490</v>
      </c>
      <c r="D262" s="120" t="s">
        <v>490</v>
      </c>
      <c r="E262" s="120" t="s">
        <v>347</v>
      </c>
      <c r="F262" s="120" t="s">
        <v>84</v>
      </c>
      <c r="G262" s="121">
        <f t="shared" si="129"/>
        <v>375</v>
      </c>
      <c r="H262" s="134">
        <f t="shared" si="112"/>
        <v>-122.23340999999999</v>
      </c>
      <c r="I262" s="121">
        <f t="shared" si="129"/>
        <v>252.76659000000001</v>
      </c>
      <c r="J262" s="121">
        <f t="shared" si="129"/>
        <v>71.771000000000001</v>
      </c>
      <c r="K262" s="121">
        <f t="shared" si="129"/>
        <v>152.76659000000001</v>
      </c>
      <c r="L262" s="121">
        <f t="shared" si="120"/>
        <v>60.437809443091354</v>
      </c>
    </row>
    <row r="263" spans="1:12" s="184" customFormat="1" ht="24">
      <c r="A263" s="119" t="s">
        <v>85</v>
      </c>
      <c r="B263" s="120" t="s">
        <v>408</v>
      </c>
      <c r="C263" s="120" t="s">
        <v>490</v>
      </c>
      <c r="D263" s="120" t="s">
        <v>490</v>
      </c>
      <c r="E263" s="120" t="s">
        <v>347</v>
      </c>
      <c r="F263" s="120" t="s">
        <v>86</v>
      </c>
      <c r="G263" s="121">
        <v>375</v>
      </c>
      <c r="H263" s="134">
        <f t="shared" si="112"/>
        <v>-122.23340999999999</v>
      </c>
      <c r="I263" s="121">
        <f>375-122.23341</f>
        <v>252.76659000000001</v>
      </c>
      <c r="J263" s="121">
        <v>71.771000000000001</v>
      </c>
      <c r="K263" s="121">
        <f>375-122.23341-100</f>
        <v>152.76659000000001</v>
      </c>
      <c r="L263" s="121">
        <f t="shared" si="120"/>
        <v>60.437809443091354</v>
      </c>
    </row>
    <row r="264" spans="1:12" s="184" customFormat="1" ht="47.25">
      <c r="A264" s="113" t="s">
        <v>187</v>
      </c>
      <c r="B264" s="116" t="s">
        <v>186</v>
      </c>
      <c r="C264" s="117"/>
      <c r="D264" s="117"/>
      <c r="E264" s="116"/>
      <c r="F264" s="116"/>
      <c r="G264" s="118" t="e">
        <f>G265+G272</f>
        <v>#REF!</v>
      </c>
      <c r="H264" s="134" t="e">
        <f t="shared" si="112"/>
        <v>#REF!</v>
      </c>
      <c r="I264" s="118">
        <f>I265+I272</f>
        <v>41196.300000000003</v>
      </c>
      <c r="J264" s="118">
        <f t="shared" ref="J264" si="130">J265+J272</f>
        <v>24131.113369999999</v>
      </c>
      <c r="K264" s="118">
        <f>K265+K272</f>
        <v>33720.235000000001</v>
      </c>
      <c r="L264" s="118">
        <f>K264/I264*100</f>
        <v>81.852581421147036</v>
      </c>
    </row>
    <row r="265" spans="1:12" s="184" customFormat="1">
      <c r="A265" s="153" t="s">
        <v>381</v>
      </c>
      <c r="B265" s="111" t="s">
        <v>186</v>
      </c>
      <c r="C265" s="111" t="s">
        <v>490</v>
      </c>
      <c r="D265" s="111" t="s">
        <v>77</v>
      </c>
      <c r="E265" s="120"/>
      <c r="F265" s="120"/>
      <c r="G265" s="154" t="e">
        <f>#REF!+G266</f>
        <v>#REF!</v>
      </c>
      <c r="H265" s="134" t="e">
        <f t="shared" si="112"/>
        <v>#REF!</v>
      </c>
      <c r="I265" s="154">
        <f t="shared" ref="I265:K270" si="131">I266</f>
        <v>3000</v>
      </c>
      <c r="J265" s="154">
        <f t="shared" si="131"/>
        <v>500</v>
      </c>
      <c r="K265" s="154">
        <f t="shared" si="131"/>
        <v>500</v>
      </c>
      <c r="L265" s="154">
        <f>K265/I265*100</f>
        <v>16.666666666666664</v>
      </c>
    </row>
    <row r="266" spans="1:12" s="184" customFormat="1">
      <c r="A266" s="110" t="s">
        <v>384</v>
      </c>
      <c r="B266" s="111" t="s">
        <v>186</v>
      </c>
      <c r="C266" s="111" t="s">
        <v>490</v>
      </c>
      <c r="D266" s="111" t="s">
        <v>490</v>
      </c>
      <c r="E266" s="120"/>
      <c r="F266" s="120"/>
      <c r="G266" s="112">
        <f>G267</f>
        <v>3000</v>
      </c>
      <c r="H266" s="134">
        <f t="shared" ref="H266:H335" si="132">I266-G266</f>
        <v>0</v>
      </c>
      <c r="I266" s="112">
        <f t="shared" si="131"/>
        <v>3000</v>
      </c>
      <c r="J266" s="112">
        <f t="shared" si="131"/>
        <v>500</v>
      </c>
      <c r="K266" s="112">
        <f t="shared" si="131"/>
        <v>500</v>
      </c>
      <c r="L266" s="154">
        <f t="shared" ref="L266:L273" si="133">K266/I266*100</f>
        <v>16.666666666666664</v>
      </c>
    </row>
    <row r="267" spans="1:12" s="122" customFormat="1" ht="27.75" customHeight="1">
      <c r="A267" s="123" t="s">
        <v>581</v>
      </c>
      <c r="B267" s="114" t="s">
        <v>186</v>
      </c>
      <c r="C267" s="114" t="s">
        <v>490</v>
      </c>
      <c r="D267" s="114" t="s">
        <v>490</v>
      </c>
      <c r="E267" s="114" t="s">
        <v>52</v>
      </c>
      <c r="F267" s="120"/>
      <c r="G267" s="112">
        <f>G268</f>
        <v>3000</v>
      </c>
      <c r="H267" s="134">
        <f t="shared" si="132"/>
        <v>0</v>
      </c>
      <c r="I267" s="112">
        <f t="shared" si="131"/>
        <v>3000</v>
      </c>
      <c r="J267" s="112">
        <f t="shared" si="131"/>
        <v>500</v>
      </c>
      <c r="K267" s="112">
        <f t="shared" si="131"/>
        <v>500</v>
      </c>
      <c r="L267" s="154">
        <f t="shared" si="133"/>
        <v>16.666666666666664</v>
      </c>
    </row>
    <row r="268" spans="1:12" s="122" customFormat="1" ht="12" customHeight="1">
      <c r="A268" s="141" t="s">
        <v>55</v>
      </c>
      <c r="B268" s="111" t="s">
        <v>186</v>
      </c>
      <c r="C268" s="111" t="s">
        <v>490</v>
      </c>
      <c r="D268" s="111" t="s">
        <v>490</v>
      </c>
      <c r="E268" s="111" t="s">
        <v>56</v>
      </c>
      <c r="F268" s="111"/>
      <c r="G268" s="112">
        <f>G269</f>
        <v>3000</v>
      </c>
      <c r="H268" s="134">
        <f t="shared" si="132"/>
        <v>0</v>
      </c>
      <c r="I268" s="112">
        <f t="shared" si="131"/>
        <v>3000</v>
      </c>
      <c r="J268" s="112">
        <f t="shared" si="131"/>
        <v>500</v>
      </c>
      <c r="K268" s="112">
        <f t="shared" si="131"/>
        <v>500</v>
      </c>
      <c r="L268" s="154">
        <f t="shared" si="133"/>
        <v>16.666666666666664</v>
      </c>
    </row>
    <row r="269" spans="1:12" s="122" customFormat="1" ht="24">
      <c r="A269" s="124" t="s">
        <v>353</v>
      </c>
      <c r="B269" s="125" t="s">
        <v>186</v>
      </c>
      <c r="C269" s="125" t="s">
        <v>490</v>
      </c>
      <c r="D269" s="125" t="s">
        <v>490</v>
      </c>
      <c r="E269" s="125" t="s">
        <v>582</v>
      </c>
      <c r="F269" s="125"/>
      <c r="G269" s="126">
        <f>G270</f>
        <v>3000</v>
      </c>
      <c r="H269" s="134">
        <f t="shared" si="132"/>
        <v>0</v>
      </c>
      <c r="I269" s="126">
        <f t="shared" si="131"/>
        <v>3000</v>
      </c>
      <c r="J269" s="126">
        <f t="shared" si="131"/>
        <v>500</v>
      </c>
      <c r="K269" s="126">
        <f t="shared" si="131"/>
        <v>500</v>
      </c>
      <c r="L269" s="220">
        <f t="shared" si="133"/>
        <v>16.666666666666664</v>
      </c>
    </row>
    <row r="270" spans="1:12" s="122" customFormat="1" ht="24">
      <c r="A270" s="119" t="s">
        <v>596</v>
      </c>
      <c r="B270" s="120" t="s">
        <v>186</v>
      </c>
      <c r="C270" s="120" t="s">
        <v>490</v>
      </c>
      <c r="D270" s="120" t="s">
        <v>490</v>
      </c>
      <c r="E270" s="120" t="s">
        <v>582</v>
      </c>
      <c r="F270" s="120" t="s">
        <v>84</v>
      </c>
      <c r="G270" s="121">
        <f>G271</f>
        <v>3000</v>
      </c>
      <c r="H270" s="134">
        <f t="shared" si="132"/>
        <v>0</v>
      </c>
      <c r="I270" s="121">
        <f t="shared" si="131"/>
        <v>3000</v>
      </c>
      <c r="J270" s="121">
        <f t="shared" si="131"/>
        <v>500</v>
      </c>
      <c r="K270" s="121">
        <f t="shared" si="131"/>
        <v>500</v>
      </c>
      <c r="L270" s="155">
        <f t="shared" si="133"/>
        <v>16.666666666666664</v>
      </c>
    </row>
    <row r="271" spans="1:12" s="122" customFormat="1" ht="24">
      <c r="A271" s="119" t="s">
        <v>85</v>
      </c>
      <c r="B271" s="120" t="s">
        <v>186</v>
      </c>
      <c r="C271" s="120" t="s">
        <v>490</v>
      </c>
      <c r="D271" s="120" t="s">
        <v>490</v>
      </c>
      <c r="E271" s="120" t="s">
        <v>582</v>
      </c>
      <c r="F271" s="120" t="s">
        <v>86</v>
      </c>
      <c r="G271" s="121">
        <v>3000</v>
      </c>
      <c r="H271" s="134">
        <f t="shared" si="132"/>
        <v>0</v>
      </c>
      <c r="I271" s="121">
        <v>3000</v>
      </c>
      <c r="J271" s="121">
        <v>500</v>
      </c>
      <c r="K271" s="121">
        <v>500</v>
      </c>
      <c r="L271" s="155">
        <f t="shared" si="133"/>
        <v>16.666666666666664</v>
      </c>
    </row>
    <row r="272" spans="1:12" s="122" customFormat="1" ht="15.75">
      <c r="A272" s="110" t="s">
        <v>398</v>
      </c>
      <c r="B272" s="111" t="s">
        <v>186</v>
      </c>
      <c r="C272" s="111" t="s">
        <v>90</v>
      </c>
      <c r="D272" s="111" t="s">
        <v>77</v>
      </c>
      <c r="E272" s="116"/>
      <c r="F272" s="116"/>
      <c r="G272" s="112">
        <f>G273+G284</f>
        <v>7855</v>
      </c>
      <c r="H272" s="134">
        <f t="shared" si="132"/>
        <v>30341.300000000003</v>
      </c>
      <c r="I272" s="112">
        <f>I273+I284</f>
        <v>38196.300000000003</v>
      </c>
      <c r="J272" s="112">
        <f t="shared" ref="J272" si="134">J273+J284</f>
        <v>23631.113369999999</v>
      </c>
      <c r="K272" s="112">
        <f>K273+K284</f>
        <v>33220.235000000001</v>
      </c>
      <c r="L272" s="154">
        <f t="shared" si="133"/>
        <v>86.972389995889657</v>
      </c>
    </row>
    <row r="273" spans="1:12" s="122" customFormat="1" ht="15.75">
      <c r="A273" s="110" t="s">
        <v>63</v>
      </c>
      <c r="B273" s="111" t="s">
        <v>186</v>
      </c>
      <c r="C273" s="111" t="s">
        <v>90</v>
      </c>
      <c r="D273" s="111" t="s">
        <v>76</v>
      </c>
      <c r="E273" s="116"/>
      <c r="F273" s="116"/>
      <c r="G273" s="112">
        <f>G274</f>
        <v>4000</v>
      </c>
      <c r="H273" s="134">
        <f t="shared" si="132"/>
        <v>30341.300000000003</v>
      </c>
      <c r="I273" s="112">
        <f>I274</f>
        <v>34341.300000000003</v>
      </c>
      <c r="J273" s="112">
        <f t="shared" ref="J273" si="135">J274</f>
        <v>20355.035</v>
      </c>
      <c r="K273" s="112">
        <f>K274</f>
        <v>29365.235000000001</v>
      </c>
      <c r="L273" s="154">
        <f t="shared" si="133"/>
        <v>85.509969046017474</v>
      </c>
    </row>
    <row r="274" spans="1:12" s="122" customFormat="1" ht="29.25" customHeight="1">
      <c r="A274" s="123" t="s">
        <v>581</v>
      </c>
      <c r="B274" s="114" t="s">
        <v>186</v>
      </c>
      <c r="C274" s="114" t="s">
        <v>90</v>
      </c>
      <c r="D274" s="114" t="s">
        <v>76</v>
      </c>
      <c r="E274" s="114" t="s">
        <v>52</v>
      </c>
      <c r="F274" s="114"/>
      <c r="G274" s="115">
        <f>G275</f>
        <v>4000</v>
      </c>
      <c r="H274" s="134">
        <f t="shared" si="132"/>
        <v>30341.300000000003</v>
      </c>
      <c r="I274" s="115">
        <f>I275+I279</f>
        <v>34341.300000000003</v>
      </c>
      <c r="J274" s="115">
        <f t="shared" ref="J274" si="136">J275+J279</f>
        <v>20355.035</v>
      </c>
      <c r="K274" s="115">
        <f>K275+K279</f>
        <v>29365.235000000001</v>
      </c>
      <c r="L274" s="115">
        <f>K274/I274*100</f>
        <v>85.509969046017474</v>
      </c>
    </row>
    <row r="275" spans="1:12" s="122" customFormat="1" ht="24">
      <c r="A275" s="110" t="s">
        <v>583</v>
      </c>
      <c r="B275" s="111" t="s">
        <v>186</v>
      </c>
      <c r="C275" s="111" t="s">
        <v>90</v>
      </c>
      <c r="D275" s="111" t="s">
        <v>76</v>
      </c>
      <c r="E275" s="111" t="s">
        <v>66</v>
      </c>
      <c r="F275" s="116"/>
      <c r="G275" s="112">
        <f>G276</f>
        <v>4000</v>
      </c>
      <c r="H275" s="134">
        <f t="shared" si="132"/>
        <v>0</v>
      </c>
      <c r="I275" s="112">
        <f>I276</f>
        <v>4000</v>
      </c>
      <c r="J275" s="112">
        <f t="shared" ref="J275:J277" si="137">J276</f>
        <v>1023.9349999999999</v>
      </c>
      <c r="K275" s="112">
        <f>K276</f>
        <v>1023.9349999999999</v>
      </c>
      <c r="L275" s="112">
        <f>K275/I275*100</f>
        <v>25.598375000000001</v>
      </c>
    </row>
    <row r="276" spans="1:12" s="122" customFormat="1" ht="24">
      <c r="A276" s="124" t="s">
        <v>354</v>
      </c>
      <c r="B276" s="125" t="s">
        <v>186</v>
      </c>
      <c r="C276" s="125" t="s">
        <v>90</v>
      </c>
      <c r="D276" s="125" t="s">
        <v>76</v>
      </c>
      <c r="E276" s="125" t="s">
        <v>584</v>
      </c>
      <c r="F276" s="125"/>
      <c r="G276" s="126">
        <f>G277</f>
        <v>4000</v>
      </c>
      <c r="H276" s="134">
        <f t="shared" si="132"/>
        <v>0</v>
      </c>
      <c r="I276" s="126">
        <f>I277</f>
        <v>4000</v>
      </c>
      <c r="J276" s="126">
        <f t="shared" si="137"/>
        <v>1023.9349999999999</v>
      </c>
      <c r="K276" s="126">
        <f>K277</f>
        <v>1023.9349999999999</v>
      </c>
      <c r="L276" s="126">
        <f t="shared" ref="L276:L295" si="138">K276/I276*100</f>
        <v>25.598375000000001</v>
      </c>
    </row>
    <row r="277" spans="1:12" s="122" customFormat="1" ht="24">
      <c r="A277" s="119" t="s">
        <v>596</v>
      </c>
      <c r="B277" s="120" t="s">
        <v>186</v>
      </c>
      <c r="C277" s="120" t="s">
        <v>90</v>
      </c>
      <c r="D277" s="120" t="s">
        <v>76</v>
      </c>
      <c r="E277" s="120" t="s">
        <v>584</v>
      </c>
      <c r="F277" s="120" t="s">
        <v>84</v>
      </c>
      <c r="G277" s="121">
        <f>G278</f>
        <v>4000</v>
      </c>
      <c r="H277" s="134">
        <f t="shared" si="132"/>
        <v>0</v>
      </c>
      <c r="I277" s="121">
        <f>I278</f>
        <v>4000</v>
      </c>
      <c r="J277" s="121">
        <f t="shared" si="137"/>
        <v>1023.9349999999999</v>
      </c>
      <c r="K277" s="121">
        <f>K278</f>
        <v>1023.9349999999999</v>
      </c>
      <c r="L277" s="121">
        <f t="shared" si="138"/>
        <v>25.598375000000001</v>
      </c>
    </row>
    <row r="278" spans="1:12" s="122" customFormat="1" ht="24">
      <c r="A278" s="119" t="s">
        <v>85</v>
      </c>
      <c r="B278" s="120" t="s">
        <v>186</v>
      </c>
      <c r="C278" s="120" t="s">
        <v>90</v>
      </c>
      <c r="D278" s="120" t="s">
        <v>76</v>
      </c>
      <c r="E278" s="120" t="s">
        <v>584</v>
      </c>
      <c r="F278" s="120" t="s">
        <v>86</v>
      </c>
      <c r="G278" s="121">
        <v>4000</v>
      </c>
      <c r="H278" s="134">
        <f t="shared" si="132"/>
        <v>0</v>
      </c>
      <c r="I278" s="121">
        <v>4000</v>
      </c>
      <c r="J278" s="121">
        <v>1023.9349999999999</v>
      </c>
      <c r="K278" s="121">
        <f>4000-2976.065</f>
        <v>1023.9349999999999</v>
      </c>
      <c r="L278" s="121">
        <f t="shared" si="138"/>
        <v>25.598375000000001</v>
      </c>
    </row>
    <row r="279" spans="1:12" s="122" customFormat="1" ht="24">
      <c r="A279" s="141" t="s">
        <v>51</v>
      </c>
      <c r="B279" s="111" t="s">
        <v>186</v>
      </c>
      <c r="C279" s="111" t="s">
        <v>90</v>
      </c>
      <c r="D279" s="111" t="s">
        <v>76</v>
      </c>
      <c r="E279" s="111" t="s">
        <v>53</v>
      </c>
      <c r="F279" s="111"/>
      <c r="G279" s="134">
        <v>0</v>
      </c>
      <c r="H279" s="134"/>
      <c r="I279" s="134">
        <f t="shared" ref="I279:K282" si="139">I280</f>
        <v>30341.3</v>
      </c>
      <c r="J279" s="134">
        <f t="shared" si="139"/>
        <v>19331.099999999999</v>
      </c>
      <c r="K279" s="134">
        <f t="shared" si="139"/>
        <v>28341.3</v>
      </c>
      <c r="L279" s="112">
        <f t="shared" si="138"/>
        <v>93.408324626828772</v>
      </c>
    </row>
    <row r="280" spans="1:12" s="122" customFormat="1" ht="24">
      <c r="A280" s="141" t="s">
        <v>54</v>
      </c>
      <c r="B280" s="111" t="s">
        <v>186</v>
      </c>
      <c r="C280" s="111" t="s">
        <v>90</v>
      </c>
      <c r="D280" s="111" t="s">
        <v>76</v>
      </c>
      <c r="E280" s="111" t="s">
        <v>585</v>
      </c>
      <c r="F280" s="111"/>
      <c r="G280" s="134">
        <v>0</v>
      </c>
      <c r="H280" s="134"/>
      <c r="I280" s="134">
        <f t="shared" si="139"/>
        <v>30341.3</v>
      </c>
      <c r="J280" s="134">
        <f t="shared" si="139"/>
        <v>19331.099999999999</v>
      </c>
      <c r="K280" s="134">
        <f t="shared" si="139"/>
        <v>28341.3</v>
      </c>
      <c r="L280" s="112">
        <f t="shared" si="138"/>
        <v>93.408324626828772</v>
      </c>
    </row>
    <row r="281" spans="1:12" s="122" customFormat="1" ht="24">
      <c r="A281" s="159" t="s">
        <v>309</v>
      </c>
      <c r="B281" s="139" t="s">
        <v>186</v>
      </c>
      <c r="C281" s="139" t="s">
        <v>90</v>
      </c>
      <c r="D281" s="139" t="s">
        <v>76</v>
      </c>
      <c r="E281" s="139" t="s">
        <v>585</v>
      </c>
      <c r="F281" s="139"/>
      <c r="G281" s="211">
        <v>0</v>
      </c>
      <c r="H281" s="134"/>
      <c r="I281" s="211">
        <f t="shared" si="139"/>
        <v>30341.3</v>
      </c>
      <c r="J281" s="211">
        <f t="shared" si="139"/>
        <v>19331.099999999999</v>
      </c>
      <c r="K281" s="211">
        <f t="shared" si="139"/>
        <v>28341.3</v>
      </c>
      <c r="L281" s="126">
        <f t="shared" si="138"/>
        <v>93.408324626828772</v>
      </c>
    </row>
    <row r="282" spans="1:12" s="122" customFormat="1" ht="24">
      <c r="A282" s="119" t="s">
        <v>104</v>
      </c>
      <c r="B282" s="120" t="s">
        <v>186</v>
      </c>
      <c r="C282" s="120" t="s">
        <v>90</v>
      </c>
      <c r="D282" s="120" t="s">
        <v>76</v>
      </c>
      <c r="E282" s="120" t="s">
        <v>585</v>
      </c>
      <c r="F282" s="120" t="s">
        <v>408</v>
      </c>
      <c r="G282" s="135">
        <v>0</v>
      </c>
      <c r="H282" s="134"/>
      <c r="I282" s="135">
        <f t="shared" si="139"/>
        <v>30341.3</v>
      </c>
      <c r="J282" s="135">
        <f t="shared" si="139"/>
        <v>19331.099999999999</v>
      </c>
      <c r="K282" s="135">
        <f t="shared" si="139"/>
        <v>28341.3</v>
      </c>
      <c r="L282" s="121">
        <f t="shared" si="138"/>
        <v>93.408324626828772</v>
      </c>
    </row>
    <row r="283" spans="1:12" s="122" customFormat="1">
      <c r="A283" s="119" t="s">
        <v>516</v>
      </c>
      <c r="B283" s="120" t="s">
        <v>186</v>
      </c>
      <c r="C283" s="120" t="s">
        <v>90</v>
      </c>
      <c r="D283" s="120" t="s">
        <v>76</v>
      </c>
      <c r="E283" s="120" t="s">
        <v>585</v>
      </c>
      <c r="F283" s="120" t="s">
        <v>517</v>
      </c>
      <c r="G283" s="135">
        <v>0</v>
      </c>
      <c r="H283" s="134"/>
      <c r="I283" s="135">
        <f>25545.1+4796.2</f>
        <v>30341.3</v>
      </c>
      <c r="J283" s="135">
        <v>19331.099999999999</v>
      </c>
      <c r="K283" s="135">
        <f>25545.1+4796.2-2000</f>
        <v>28341.3</v>
      </c>
      <c r="L283" s="121">
        <f t="shared" si="138"/>
        <v>93.408324626828772</v>
      </c>
    </row>
    <row r="284" spans="1:12" s="122" customFormat="1">
      <c r="A284" s="110" t="s">
        <v>188</v>
      </c>
      <c r="B284" s="111" t="s">
        <v>186</v>
      </c>
      <c r="C284" s="111" t="s">
        <v>90</v>
      </c>
      <c r="D284" s="111" t="s">
        <v>432</v>
      </c>
      <c r="E284" s="111"/>
      <c r="F284" s="111"/>
      <c r="G284" s="112">
        <f>G285</f>
        <v>3855</v>
      </c>
      <c r="H284" s="134">
        <f t="shared" si="132"/>
        <v>0</v>
      </c>
      <c r="I284" s="112">
        <f>I285</f>
        <v>3855</v>
      </c>
      <c r="J284" s="112">
        <f t="shared" ref="J284:J285" si="140">J285</f>
        <v>3276.0783700000002</v>
      </c>
      <c r="K284" s="112">
        <f>K285</f>
        <v>3855</v>
      </c>
      <c r="L284" s="112">
        <f t="shared" si="138"/>
        <v>100</v>
      </c>
    </row>
    <row r="285" spans="1:12" s="122" customFormat="1" ht="30" customHeight="1">
      <c r="A285" s="123" t="s">
        <v>581</v>
      </c>
      <c r="B285" s="114" t="s">
        <v>186</v>
      </c>
      <c r="C285" s="114" t="s">
        <v>90</v>
      </c>
      <c r="D285" s="114" t="s">
        <v>432</v>
      </c>
      <c r="E285" s="114" t="s">
        <v>52</v>
      </c>
      <c r="F285" s="111"/>
      <c r="G285" s="115">
        <f>G286</f>
        <v>3855</v>
      </c>
      <c r="H285" s="134">
        <f t="shared" si="132"/>
        <v>0</v>
      </c>
      <c r="I285" s="115">
        <f>I286</f>
        <v>3855</v>
      </c>
      <c r="J285" s="115">
        <f t="shared" si="140"/>
        <v>3276.0783700000002</v>
      </c>
      <c r="K285" s="115">
        <f>K286</f>
        <v>3855</v>
      </c>
      <c r="L285" s="126">
        <f t="shared" si="138"/>
        <v>100</v>
      </c>
    </row>
    <row r="286" spans="1:12" s="122" customFormat="1" ht="24">
      <c r="A286" s="110" t="s">
        <v>67</v>
      </c>
      <c r="B286" s="111" t="s">
        <v>186</v>
      </c>
      <c r="C286" s="111" t="s">
        <v>90</v>
      </c>
      <c r="D286" s="111" t="s">
        <v>432</v>
      </c>
      <c r="E286" s="111" t="s">
        <v>68</v>
      </c>
      <c r="F286" s="111"/>
      <c r="G286" s="112">
        <f>G287+G291</f>
        <v>3855</v>
      </c>
      <c r="H286" s="134">
        <f t="shared" si="132"/>
        <v>0</v>
      </c>
      <c r="I286" s="112">
        <f>I287+I291</f>
        <v>3855</v>
      </c>
      <c r="J286" s="112">
        <f t="shared" ref="J286" si="141">J287+J291</f>
        <v>3276.0783700000002</v>
      </c>
      <c r="K286" s="112">
        <f>K287+K291</f>
        <v>3855</v>
      </c>
      <c r="L286" s="112">
        <f t="shared" si="138"/>
        <v>100</v>
      </c>
    </row>
    <row r="287" spans="1:12" s="122" customFormat="1" ht="36">
      <c r="A287" s="110" t="s">
        <v>312</v>
      </c>
      <c r="B287" s="111" t="s">
        <v>186</v>
      </c>
      <c r="C287" s="111" t="s">
        <v>90</v>
      </c>
      <c r="D287" s="111" t="s">
        <v>432</v>
      </c>
      <c r="E287" s="111" t="s">
        <v>69</v>
      </c>
      <c r="F287" s="111"/>
      <c r="G287" s="112">
        <f>G288</f>
        <v>3770</v>
      </c>
      <c r="H287" s="134">
        <f t="shared" si="132"/>
        <v>0</v>
      </c>
      <c r="I287" s="112">
        <f>I288</f>
        <v>3770</v>
      </c>
      <c r="J287" s="112">
        <f t="shared" ref="J287:J289" si="142">J288</f>
        <v>3218.4463700000001</v>
      </c>
      <c r="K287" s="112">
        <f>K288</f>
        <v>3770</v>
      </c>
      <c r="L287" s="112">
        <f t="shared" si="138"/>
        <v>100</v>
      </c>
    </row>
    <row r="288" spans="1:12" s="122" customFormat="1" ht="24">
      <c r="A288" s="145" t="s">
        <v>303</v>
      </c>
      <c r="B288" s="125" t="s">
        <v>186</v>
      </c>
      <c r="C288" s="125" t="s">
        <v>90</v>
      </c>
      <c r="D288" s="125" t="s">
        <v>432</v>
      </c>
      <c r="E288" s="125" t="s">
        <v>69</v>
      </c>
      <c r="F288" s="125"/>
      <c r="G288" s="126">
        <f>G289</f>
        <v>3770</v>
      </c>
      <c r="H288" s="134">
        <f t="shared" si="132"/>
        <v>0</v>
      </c>
      <c r="I288" s="126">
        <f>I289</f>
        <v>3770</v>
      </c>
      <c r="J288" s="126">
        <f t="shared" si="142"/>
        <v>3218.4463700000001</v>
      </c>
      <c r="K288" s="126">
        <f>K289</f>
        <v>3770</v>
      </c>
      <c r="L288" s="126">
        <f t="shared" si="138"/>
        <v>100</v>
      </c>
    </row>
    <row r="289" spans="1:12" s="122" customFormat="1" ht="36">
      <c r="A289" s="119" t="s">
        <v>79</v>
      </c>
      <c r="B289" s="120" t="s">
        <v>186</v>
      </c>
      <c r="C289" s="120" t="s">
        <v>90</v>
      </c>
      <c r="D289" s="120" t="s">
        <v>432</v>
      </c>
      <c r="E289" s="120" t="s">
        <v>69</v>
      </c>
      <c r="F289" s="120" t="s">
        <v>80</v>
      </c>
      <c r="G289" s="121">
        <f>G290</f>
        <v>3770</v>
      </c>
      <c r="H289" s="134">
        <f t="shared" si="132"/>
        <v>0</v>
      </c>
      <c r="I289" s="121">
        <f>I290</f>
        <v>3770</v>
      </c>
      <c r="J289" s="121">
        <f t="shared" si="142"/>
        <v>3218.4463700000001</v>
      </c>
      <c r="K289" s="121">
        <f>K290</f>
        <v>3770</v>
      </c>
      <c r="L289" s="121">
        <f t="shared" si="138"/>
        <v>100</v>
      </c>
    </row>
    <row r="290" spans="1:12" s="122" customFormat="1">
      <c r="A290" s="119" t="s">
        <v>81</v>
      </c>
      <c r="B290" s="120" t="s">
        <v>186</v>
      </c>
      <c r="C290" s="120" t="s">
        <v>90</v>
      </c>
      <c r="D290" s="120" t="s">
        <v>432</v>
      </c>
      <c r="E290" s="120" t="s">
        <v>69</v>
      </c>
      <c r="F290" s="120" t="s">
        <v>82</v>
      </c>
      <c r="G290" s="121">
        <f>2830+20+850+10+60</f>
        <v>3770</v>
      </c>
      <c r="H290" s="134">
        <f t="shared" si="132"/>
        <v>0</v>
      </c>
      <c r="I290" s="121">
        <f>2830+20+850+10+60</f>
        <v>3770</v>
      </c>
      <c r="J290" s="121">
        <v>3218.4463700000001</v>
      </c>
      <c r="K290" s="121">
        <f>2830+20+850+10+60</f>
        <v>3770</v>
      </c>
      <c r="L290" s="121">
        <f t="shared" si="138"/>
        <v>100</v>
      </c>
    </row>
    <row r="291" spans="1:12" s="122" customFormat="1">
      <c r="A291" s="110" t="s">
        <v>83</v>
      </c>
      <c r="B291" s="111" t="s">
        <v>186</v>
      </c>
      <c r="C291" s="111" t="s">
        <v>90</v>
      </c>
      <c r="D291" s="111" t="s">
        <v>432</v>
      </c>
      <c r="E291" s="111" t="s">
        <v>70</v>
      </c>
      <c r="F291" s="111"/>
      <c r="G291" s="112">
        <f>G292+G294</f>
        <v>85</v>
      </c>
      <c r="H291" s="134">
        <f t="shared" si="132"/>
        <v>0</v>
      </c>
      <c r="I291" s="112">
        <f>I292+I294</f>
        <v>85</v>
      </c>
      <c r="J291" s="112">
        <f t="shared" ref="J291" si="143">J292+J294</f>
        <v>57.631999999999998</v>
      </c>
      <c r="K291" s="112">
        <f>K292+K294</f>
        <v>85</v>
      </c>
      <c r="L291" s="112">
        <f t="shared" si="138"/>
        <v>100</v>
      </c>
    </row>
    <row r="292" spans="1:12" s="122" customFormat="1" ht="24">
      <c r="A292" s="119" t="s">
        <v>596</v>
      </c>
      <c r="B292" s="120" t="s">
        <v>186</v>
      </c>
      <c r="C292" s="120" t="s">
        <v>90</v>
      </c>
      <c r="D292" s="120" t="s">
        <v>432</v>
      </c>
      <c r="E292" s="120" t="s">
        <v>70</v>
      </c>
      <c r="F292" s="120" t="s">
        <v>84</v>
      </c>
      <c r="G292" s="121">
        <f>G293</f>
        <v>75</v>
      </c>
      <c r="H292" s="134">
        <f t="shared" si="132"/>
        <v>0</v>
      </c>
      <c r="I292" s="121">
        <f>I293</f>
        <v>75</v>
      </c>
      <c r="J292" s="121">
        <f t="shared" ref="J292" si="144">J293</f>
        <v>57.631999999999998</v>
      </c>
      <c r="K292" s="121">
        <f>K293</f>
        <v>75</v>
      </c>
      <c r="L292" s="121">
        <f t="shared" si="138"/>
        <v>100</v>
      </c>
    </row>
    <row r="293" spans="1:12" s="122" customFormat="1" ht="24">
      <c r="A293" s="119" t="s">
        <v>85</v>
      </c>
      <c r="B293" s="120" t="s">
        <v>186</v>
      </c>
      <c r="C293" s="120" t="s">
        <v>90</v>
      </c>
      <c r="D293" s="120" t="s">
        <v>432</v>
      </c>
      <c r="E293" s="120" t="s">
        <v>70</v>
      </c>
      <c r="F293" s="120" t="s">
        <v>86</v>
      </c>
      <c r="G293" s="121">
        <f>5+10+10+50</f>
        <v>75</v>
      </c>
      <c r="H293" s="134">
        <f t="shared" si="132"/>
        <v>0</v>
      </c>
      <c r="I293" s="121">
        <f>5+10+10+50</f>
        <v>75</v>
      </c>
      <c r="J293" s="121">
        <v>57.631999999999998</v>
      </c>
      <c r="K293" s="121">
        <f>5+10+10+50</f>
        <v>75</v>
      </c>
      <c r="L293" s="121">
        <f t="shared" si="138"/>
        <v>100</v>
      </c>
    </row>
    <row r="294" spans="1:12" s="122" customFormat="1">
      <c r="A294" s="119" t="s">
        <v>87</v>
      </c>
      <c r="B294" s="120" t="s">
        <v>186</v>
      </c>
      <c r="C294" s="120" t="s">
        <v>90</v>
      </c>
      <c r="D294" s="120" t="s">
        <v>432</v>
      </c>
      <c r="E294" s="120" t="s">
        <v>70</v>
      </c>
      <c r="F294" s="120" t="s">
        <v>88</v>
      </c>
      <c r="G294" s="121">
        <f>G295</f>
        <v>10</v>
      </c>
      <c r="H294" s="134">
        <f t="shared" si="132"/>
        <v>0</v>
      </c>
      <c r="I294" s="121">
        <f>I295</f>
        <v>10</v>
      </c>
      <c r="J294" s="229">
        <f t="shared" ref="J294" si="145">J295</f>
        <v>0</v>
      </c>
      <c r="K294" s="121">
        <f>K295</f>
        <v>10</v>
      </c>
      <c r="L294" s="121">
        <f t="shared" si="138"/>
        <v>100</v>
      </c>
    </row>
    <row r="295" spans="1:12" s="122" customFormat="1">
      <c r="A295" s="119" t="s">
        <v>514</v>
      </c>
      <c r="B295" s="120" t="s">
        <v>186</v>
      </c>
      <c r="C295" s="120" t="s">
        <v>90</v>
      </c>
      <c r="D295" s="120" t="s">
        <v>432</v>
      </c>
      <c r="E295" s="120" t="s">
        <v>70</v>
      </c>
      <c r="F295" s="120" t="s">
        <v>89</v>
      </c>
      <c r="G295" s="121">
        <v>10</v>
      </c>
      <c r="H295" s="134">
        <f t="shared" si="132"/>
        <v>0</v>
      </c>
      <c r="I295" s="121">
        <v>10</v>
      </c>
      <c r="J295" s="229">
        <v>0</v>
      </c>
      <c r="K295" s="121">
        <v>10</v>
      </c>
      <c r="L295" s="121">
        <f t="shared" si="138"/>
        <v>100</v>
      </c>
    </row>
    <row r="296" spans="1:12" s="122" customFormat="1" ht="47.25">
      <c r="A296" s="113" t="s">
        <v>166</v>
      </c>
      <c r="B296" s="116" t="s">
        <v>167</v>
      </c>
      <c r="C296" s="120"/>
      <c r="D296" s="120"/>
      <c r="E296" s="120"/>
      <c r="F296" s="120"/>
      <c r="G296" s="118" t="e">
        <f>G297</f>
        <v>#REF!</v>
      </c>
      <c r="H296" s="134" t="e">
        <f t="shared" si="132"/>
        <v>#REF!</v>
      </c>
      <c r="I296" s="118">
        <f>I297</f>
        <v>1033427.35919</v>
      </c>
      <c r="J296" s="118">
        <f t="shared" ref="J296" si="146">J297</f>
        <v>714329.70000000019</v>
      </c>
      <c r="K296" s="118">
        <f>K297</f>
        <v>1029072.4641900001</v>
      </c>
      <c r="L296" s="118">
        <f>K296/I296*100</f>
        <v>99.578596893020787</v>
      </c>
    </row>
    <row r="297" spans="1:12" s="122" customFormat="1">
      <c r="A297" s="110" t="s">
        <v>363</v>
      </c>
      <c r="B297" s="111" t="s">
        <v>167</v>
      </c>
      <c r="C297" s="111" t="s">
        <v>78</v>
      </c>
      <c r="D297" s="111" t="s">
        <v>77</v>
      </c>
      <c r="E297" s="120"/>
      <c r="F297" s="120"/>
      <c r="G297" s="112" t="e">
        <f>G298+G313</f>
        <v>#REF!</v>
      </c>
      <c r="H297" s="134" t="e">
        <f t="shared" si="132"/>
        <v>#REF!</v>
      </c>
      <c r="I297" s="112">
        <f>I298+I313</f>
        <v>1033427.35919</v>
      </c>
      <c r="J297" s="112">
        <f t="shared" ref="J297" si="147">J298+J313</f>
        <v>714329.70000000019</v>
      </c>
      <c r="K297" s="112">
        <f>K298+K313</f>
        <v>1029072.4641900001</v>
      </c>
      <c r="L297" s="112">
        <f>K297/I297*100</f>
        <v>99.578596893020787</v>
      </c>
    </row>
    <row r="298" spans="1:12" s="122" customFormat="1">
      <c r="A298" s="110" t="s">
        <v>374</v>
      </c>
      <c r="B298" s="111" t="s">
        <v>167</v>
      </c>
      <c r="C298" s="111" t="s">
        <v>78</v>
      </c>
      <c r="D298" s="111" t="s">
        <v>488</v>
      </c>
      <c r="E298" s="111"/>
      <c r="F298" s="111"/>
      <c r="G298" s="112">
        <f>G299</f>
        <v>68533</v>
      </c>
      <c r="H298" s="134">
        <f t="shared" si="132"/>
        <v>0</v>
      </c>
      <c r="I298" s="112">
        <f>I299</f>
        <v>68533</v>
      </c>
      <c r="J298" s="112">
        <f t="shared" ref="J298" si="148">J299</f>
        <v>58350.142999999996</v>
      </c>
      <c r="K298" s="112">
        <f>K299</f>
        <v>66283</v>
      </c>
      <c r="L298" s="112">
        <f t="shared" ref="L298:L359" si="149">K298/I298*100</f>
        <v>96.716910101702823</v>
      </c>
    </row>
    <row r="299" spans="1:12" s="122" customFormat="1" ht="26.25" customHeight="1">
      <c r="A299" s="123" t="s">
        <v>590</v>
      </c>
      <c r="B299" s="114" t="s">
        <v>167</v>
      </c>
      <c r="C299" s="114" t="s">
        <v>78</v>
      </c>
      <c r="D299" s="114" t="s">
        <v>488</v>
      </c>
      <c r="E299" s="114" t="s">
        <v>236</v>
      </c>
      <c r="F299" s="114"/>
      <c r="G299" s="115">
        <f>G300+G309</f>
        <v>68533</v>
      </c>
      <c r="H299" s="134">
        <f t="shared" si="132"/>
        <v>0</v>
      </c>
      <c r="I299" s="115">
        <f>I300+I309</f>
        <v>68533</v>
      </c>
      <c r="J299" s="115">
        <f t="shared" ref="J299" si="150">J300+J309</f>
        <v>58350.142999999996</v>
      </c>
      <c r="K299" s="115">
        <f>K300+K309</f>
        <v>66283</v>
      </c>
      <c r="L299" s="115">
        <f t="shared" si="149"/>
        <v>96.716910101702823</v>
      </c>
    </row>
    <row r="300" spans="1:12" s="122" customFormat="1" ht="24">
      <c r="A300" s="124" t="s">
        <v>99</v>
      </c>
      <c r="B300" s="125" t="s">
        <v>167</v>
      </c>
      <c r="C300" s="125" t="s">
        <v>78</v>
      </c>
      <c r="D300" s="125" t="s">
        <v>488</v>
      </c>
      <c r="E300" s="125" t="s">
        <v>237</v>
      </c>
      <c r="F300" s="125"/>
      <c r="G300" s="126">
        <f>G301+G304</f>
        <v>5533</v>
      </c>
      <c r="H300" s="134">
        <f t="shared" si="132"/>
        <v>0</v>
      </c>
      <c r="I300" s="126">
        <f>I301+I304</f>
        <v>5533</v>
      </c>
      <c r="J300" s="126">
        <f t="shared" ref="J300" si="151">J301+J304</f>
        <v>3850.143</v>
      </c>
      <c r="K300" s="126">
        <f>K301+K304</f>
        <v>5533</v>
      </c>
      <c r="L300" s="126">
        <f t="shared" si="149"/>
        <v>100</v>
      </c>
    </row>
    <row r="301" spans="1:12" s="122" customFormat="1" ht="24">
      <c r="A301" s="127" t="s">
        <v>303</v>
      </c>
      <c r="B301" s="111" t="s">
        <v>167</v>
      </c>
      <c r="C301" s="111" t="s">
        <v>78</v>
      </c>
      <c r="D301" s="111" t="s">
        <v>488</v>
      </c>
      <c r="E301" s="111" t="s">
        <v>330</v>
      </c>
      <c r="F301" s="111"/>
      <c r="G301" s="112">
        <f>G302</f>
        <v>5270</v>
      </c>
      <c r="H301" s="134">
        <f t="shared" si="132"/>
        <v>0</v>
      </c>
      <c r="I301" s="112">
        <f>I302</f>
        <v>5270</v>
      </c>
      <c r="J301" s="112">
        <f t="shared" ref="J301:J302" si="152">J302</f>
        <v>3742.5810000000001</v>
      </c>
      <c r="K301" s="112">
        <f>K302</f>
        <v>5270</v>
      </c>
      <c r="L301" s="112">
        <f t="shared" si="149"/>
        <v>100</v>
      </c>
    </row>
    <row r="302" spans="1:12" s="122" customFormat="1" ht="36">
      <c r="A302" s="119" t="s">
        <v>79</v>
      </c>
      <c r="B302" s="120" t="s">
        <v>167</v>
      </c>
      <c r="C302" s="120" t="s">
        <v>78</v>
      </c>
      <c r="D302" s="120" t="s">
        <v>488</v>
      </c>
      <c r="E302" s="120" t="s">
        <v>330</v>
      </c>
      <c r="F302" s="120" t="s">
        <v>80</v>
      </c>
      <c r="G302" s="121">
        <f>G303</f>
        <v>5270</v>
      </c>
      <c r="H302" s="134">
        <f t="shared" si="132"/>
        <v>0</v>
      </c>
      <c r="I302" s="121">
        <f>I303</f>
        <v>5270</v>
      </c>
      <c r="J302" s="121">
        <f t="shared" si="152"/>
        <v>3742.5810000000001</v>
      </c>
      <c r="K302" s="121">
        <f>K303</f>
        <v>5270</v>
      </c>
      <c r="L302" s="121">
        <f t="shared" si="149"/>
        <v>100</v>
      </c>
    </row>
    <row r="303" spans="1:12" s="122" customFormat="1">
      <c r="A303" s="119" t="s">
        <v>81</v>
      </c>
      <c r="B303" s="120" t="s">
        <v>167</v>
      </c>
      <c r="C303" s="120" t="s">
        <v>78</v>
      </c>
      <c r="D303" s="120" t="s">
        <v>488</v>
      </c>
      <c r="E303" s="120" t="s">
        <v>330</v>
      </c>
      <c r="F303" s="120" t="s">
        <v>82</v>
      </c>
      <c r="G303" s="121">
        <f>4050+1220</f>
        <v>5270</v>
      </c>
      <c r="H303" s="134">
        <f t="shared" si="132"/>
        <v>0</v>
      </c>
      <c r="I303" s="121">
        <f>4050+1220</f>
        <v>5270</v>
      </c>
      <c r="J303" s="121">
        <v>3742.5810000000001</v>
      </c>
      <c r="K303" s="121">
        <f>4050+1220</f>
        <v>5270</v>
      </c>
      <c r="L303" s="121">
        <f t="shared" si="149"/>
        <v>100</v>
      </c>
    </row>
    <row r="304" spans="1:12" s="122" customFormat="1">
      <c r="A304" s="110" t="s">
        <v>83</v>
      </c>
      <c r="B304" s="111" t="s">
        <v>167</v>
      </c>
      <c r="C304" s="111" t="s">
        <v>78</v>
      </c>
      <c r="D304" s="111" t="s">
        <v>488</v>
      </c>
      <c r="E304" s="111" t="s">
        <v>331</v>
      </c>
      <c r="F304" s="111"/>
      <c r="G304" s="112">
        <f>G305+G307</f>
        <v>263</v>
      </c>
      <c r="H304" s="134">
        <f t="shared" si="132"/>
        <v>0</v>
      </c>
      <c r="I304" s="112">
        <f>I305+I307</f>
        <v>263</v>
      </c>
      <c r="J304" s="112">
        <f t="shared" ref="J304" si="153">J305+J307</f>
        <v>107.562</v>
      </c>
      <c r="K304" s="112">
        <f>K305+K307</f>
        <v>263</v>
      </c>
      <c r="L304" s="112">
        <f t="shared" si="149"/>
        <v>100</v>
      </c>
    </row>
    <row r="305" spans="1:12" s="122" customFormat="1" ht="24">
      <c r="A305" s="119" t="s">
        <v>596</v>
      </c>
      <c r="B305" s="120" t="s">
        <v>167</v>
      </c>
      <c r="C305" s="120" t="s">
        <v>78</v>
      </c>
      <c r="D305" s="120" t="s">
        <v>488</v>
      </c>
      <c r="E305" s="120" t="s">
        <v>331</v>
      </c>
      <c r="F305" s="120" t="s">
        <v>84</v>
      </c>
      <c r="G305" s="121">
        <f>G306</f>
        <v>260</v>
      </c>
      <c r="H305" s="134">
        <f t="shared" si="132"/>
        <v>0</v>
      </c>
      <c r="I305" s="121">
        <f>I306</f>
        <v>260</v>
      </c>
      <c r="J305" s="121">
        <f t="shared" ref="J305" si="154">J306</f>
        <v>104.857</v>
      </c>
      <c r="K305" s="121">
        <f>K306</f>
        <v>260</v>
      </c>
      <c r="L305" s="121">
        <f t="shared" si="149"/>
        <v>100</v>
      </c>
    </row>
    <row r="306" spans="1:12" s="122" customFormat="1" ht="24">
      <c r="A306" s="119" t="s">
        <v>85</v>
      </c>
      <c r="B306" s="120" t="s">
        <v>167</v>
      </c>
      <c r="C306" s="120" t="s">
        <v>78</v>
      </c>
      <c r="D306" s="120" t="s">
        <v>488</v>
      </c>
      <c r="E306" s="120" t="s">
        <v>331</v>
      </c>
      <c r="F306" s="120" t="s">
        <v>86</v>
      </c>
      <c r="G306" s="121">
        <v>260</v>
      </c>
      <c r="H306" s="134">
        <f t="shared" si="132"/>
        <v>0</v>
      </c>
      <c r="I306" s="121">
        <v>260</v>
      </c>
      <c r="J306" s="121">
        <v>104.857</v>
      </c>
      <c r="K306" s="121">
        <v>260</v>
      </c>
      <c r="L306" s="121">
        <f t="shared" si="149"/>
        <v>100</v>
      </c>
    </row>
    <row r="307" spans="1:12" s="122" customFormat="1">
      <c r="A307" s="119" t="s">
        <v>87</v>
      </c>
      <c r="B307" s="120" t="s">
        <v>167</v>
      </c>
      <c r="C307" s="120" t="s">
        <v>78</v>
      </c>
      <c r="D307" s="120" t="s">
        <v>488</v>
      </c>
      <c r="E307" s="120" t="s">
        <v>331</v>
      </c>
      <c r="F307" s="120" t="s">
        <v>88</v>
      </c>
      <c r="G307" s="121">
        <f>G308</f>
        <v>3</v>
      </c>
      <c r="H307" s="134">
        <f t="shared" si="132"/>
        <v>0</v>
      </c>
      <c r="I307" s="121">
        <f>I308</f>
        <v>3</v>
      </c>
      <c r="J307" s="121">
        <f t="shared" ref="J307" si="155">J308</f>
        <v>2.7050000000000001</v>
      </c>
      <c r="K307" s="121">
        <f>K308</f>
        <v>3</v>
      </c>
      <c r="L307" s="121">
        <f t="shared" si="149"/>
        <v>100</v>
      </c>
    </row>
    <row r="308" spans="1:12" s="122" customFormat="1">
      <c r="A308" s="119" t="s">
        <v>155</v>
      </c>
      <c r="B308" s="120" t="s">
        <v>167</v>
      </c>
      <c r="C308" s="120" t="s">
        <v>78</v>
      </c>
      <c r="D308" s="120" t="s">
        <v>488</v>
      </c>
      <c r="E308" s="120" t="s">
        <v>331</v>
      </c>
      <c r="F308" s="120" t="s">
        <v>89</v>
      </c>
      <c r="G308" s="121">
        <v>3</v>
      </c>
      <c r="H308" s="134">
        <f t="shared" si="132"/>
        <v>0</v>
      </c>
      <c r="I308" s="121">
        <v>3</v>
      </c>
      <c r="J308" s="121">
        <v>2.7050000000000001</v>
      </c>
      <c r="K308" s="121">
        <v>3</v>
      </c>
      <c r="L308" s="121">
        <f t="shared" si="149"/>
        <v>100</v>
      </c>
    </row>
    <row r="309" spans="1:12" s="122" customFormat="1" ht="24">
      <c r="A309" s="128" t="s">
        <v>332</v>
      </c>
      <c r="B309" s="125" t="s">
        <v>167</v>
      </c>
      <c r="C309" s="125" t="s">
        <v>78</v>
      </c>
      <c r="D309" s="125" t="s">
        <v>488</v>
      </c>
      <c r="E309" s="129" t="s">
        <v>333</v>
      </c>
      <c r="F309" s="125"/>
      <c r="G309" s="126">
        <f>G310</f>
        <v>63000</v>
      </c>
      <c r="H309" s="134">
        <f t="shared" si="132"/>
        <v>0</v>
      </c>
      <c r="I309" s="126">
        <f>I310</f>
        <v>63000</v>
      </c>
      <c r="J309" s="126">
        <f t="shared" ref="J309:J311" si="156">J310</f>
        <v>54500</v>
      </c>
      <c r="K309" s="126">
        <f>K310</f>
        <v>60750</v>
      </c>
      <c r="L309" s="126">
        <f t="shared" si="149"/>
        <v>96.428571428571431</v>
      </c>
    </row>
    <row r="310" spans="1:12" s="122" customFormat="1" ht="36">
      <c r="A310" s="128" t="s">
        <v>591</v>
      </c>
      <c r="B310" s="125" t="s">
        <v>167</v>
      </c>
      <c r="C310" s="125" t="s">
        <v>78</v>
      </c>
      <c r="D310" s="125" t="s">
        <v>488</v>
      </c>
      <c r="E310" s="129" t="s">
        <v>592</v>
      </c>
      <c r="F310" s="125"/>
      <c r="G310" s="126">
        <f>G311</f>
        <v>63000</v>
      </c>
      <c r="H310" s="134">
        <f t="shared" si="132"/>
        <v>0</v>
      </c>
      <c r="I310" s="126">
        <f>I311</f>
        <v>63000</v>
      </c>
      <c r="J310" s="126">
        <f t="shared" si="156"/>
        <v>54500</v>
      </c>
      <c r="K310" s="126">
        <f>K311</f>
        <v>60750</v>
      </c>
      <c r="L310" s="126">
        <f t="shared" si="149"/>
        <v>96.428571428571431</v>
      </c>
    </row>
    <row r="311" spans="1:12" s="122" customFormat="1">
      <c r="A311" s="119" t="s">
        <v>87</v>
      </c>
      <c r="B311" s="120" t="s">
        <v>167</v>
      </c>
      <c r="C311" s="120" t="s">
        <v>78</v>
      </c>
      <c r="D311" s="120" t="s">
        <v>488</v>
      </c>
      <c r="E311" s="130" t="s">
        <v>592</v>
      </c>
      <c r="F311" s="120" t="s">
        <v>88</v>
      </c>
      <c r="G311" s="121">
        <f>G312</f>
        <v>63000</v>
      </c>
      <c r="H311" s="134">
        <f t="shared" si="132"/>
        <v>0</v>
      </c>
      <c r="I311" s="121">
        <f>I312</f>
        <v>63000</v>
      </c>
      <c r="J311" s="121">
        <f t="shared" si="156"/>
        <v>54500</v>
      </c>
      <c r="K311" s="121">
        <f>K312</f>
        <v>60750</v>
      </c>
      <c r="L311" s="121">
        <f t="shared" si="149"/>
        <v>96.428571428571431</v>
      </c>
    </row>
    <row r="312" spans="1:12" s="122" customFormat="1" ht="36">
      <c r="A312" s="119" t="s">
        <v>593</v>
      </c>
      <c r="B312" s="120" t="s">
        <v>167</v>
      </c>
      <c r="C312" s="120" t="s">
        <v>78</v>
      </c>
      <c r="D312" s="120" t="s">
        <v>488</v>
      </c>
      <c r="E312" s="130" t="s">
        <v>592</v>
      </c>
      <c r="F312" s="120" t="s">
        <v>430</v>
      </c>
      <c r="G312" s="121">
        <v>63000</v>
      </c>
      <c r="H312" s="134">
        <f t="shared" si="132"/>
        <v>0</v>
      </c>
      <c r="I312" s="121">
        <v>63000</v>
      </c>
      <c r="J312" s="121">
        <v>54500</v>
      </c>
      <c r="K312" s="121">
        <f>63000-2250</f>
        <v>60750</v>
      </c>
      <c r="L312" s="121">
        <f t="shared" si="149"/>
        <v>96.428571428571431</v>
      </c>
    </row>
    <row r="313" spans="1:12" s="122" customFormat="1">
      <c r="A313" s="110" t="s">
        <v>397</v>
      </c>
      <c r="B313" s="111" t="s">
        <v>167</v>
      </c>
      <c r="C313" s="111" t="s">
        <v>78</v>
      </c>
      <c r="D313" s="111" t="s">
        <v>484</v>
      </c>
      <c r="E313" s="130"/>
      <c r="F313" s="120"/>
      <c r="G313" s="112" t="e">
        <f>G314</f>
        <v>#REF!</v>
      </c>
      <c r="H313" s="134" t="e">
        <f t="shared" si="132"/>
        <v>#REF!</v>
      </c>
      <c r="I313" s="112">
        <f>I314</f>
        <v>964894.35918999999</v>
      </c>
      <c r="J313" s="112">
        <f t="shared" ref="J313" si="157">J314</f>
        <v>655979.55700000015</v>
      </c>
      <c r="K313" s="112">
        <f>K314</f>
        <v>962789.46419000009</v>
      </c>
      <c r="L313" s="112">
        <f t="shared" si="149"/>
        <v>99.781852284661824</v>
      </c>
    </row>
    <row r="314" spans="1:12" s="122" customFormat="1" ht="40.5">
      <c r="A314" s="123" t="s">
        <v>590</v>
      </c>
      <c r="B314" s="114" t="s">
        <v>167</v>
      </c>
      <c r="C314" s="114" t="s">
        <v>78</v>
      </c>
      <c r="D314" s="114" t="s">
        <v>484</v>
      </c>
      <c r="E314" s="114" t="s">
        <v>236</v>
      </c>
      <c r="F314" s="114"/>
      <c r="G314" s="115" t="e">
        <f>G319+G348</f>
        <v>#REF!</v>
      </c>
      <c r="H314" s="134" t="e">
        <f t="shared" si="132"/>
        <v>#REF!</v>
      </c>
      <c r="I314" s="115">
        <f>I319+I348+I315</f>
        <v>964894.35918999999</v>
      </c>
      <c r="J314" s="115">
        <f t="shared" ref="J314" si="158">J319+J348+J315</f>
        <v>655979.55700000015</v>
      </c>
      <c r="K314" s="115">
        <f>K319+K348+K315</f>
        <v>962789.46419000009</v>
      </c>
      <c r="L314" s="115">
        <f t="shared" si="149"/>
        <v>99.781852284661824</v>
      </c>
    </row>
    <row r="315" spans="1:12" s="122" customFormat="1" ht="24">
      <c r="A315" s="110" t="s">
        <v>99</v>
      </c>
      <c r="B315" s="111" t="s">
        <v>167</v>
      </c>
      <c r="C315" s="111" t="s">
        <v>78</v>
      </c>
      <c r="D315" s="111" t="s">
        <v>484</v>
      </c>
      <c r="E315" s="111" t="s">
        <v>237</v>
      </c>
      <c r="F315" s="114"/>
      <c r="G315" s="115"/>
      <c r="H315" s="134"/>
      <c r="I315" s="112">
        <f>I316</f>
        <v>1365.35</v>
      </c>
      <c r="J315" s="112">
        <f t="shared" ref="J315:J317" si="159">J316</f>
        <v>1365.3489999999999</v>
      </c>
      <c r="K315" s="112">
        <f>K316</f>
        <v>1365.3489999999999</v>
      </c>
      <c r="L315" s="112">
        <f t="shared" si="149"/>
        <v>99.999926758706565</v>
      </c>
    </row>
    <row r="316" spans="1:12" s="122" customFormat="1" ht="13.5">
      <c r="A316" s="110" t="s">
        <v>228</v>
      </c>
      <c r="B316" s="111" t="s">
        <v>167</v>
      </c>
      <c r="C316" s="111" t="s">
        <v>78</v>
      </c>
      <c r="D316" s="111" t="s">
        <v>484</v>
      </c>
      <c r="E316" s="111" t="s">
        <v>763</v>
      </c>
      <c r="F316" s="111"/>
      <c r="G316" s="115"/>
      <c r="H316" s="134"/>
      <c r="I316" s="112">
        <f>I317</f>
        <v>1365.35</v>
      </c>
      <c r="J316" s="112">
        <f t="shared" si="159"/>
        <v>1365.3489999999999</v>
      </c>
      <c r="K316" s="112">
        <f>K317</f>
        <v>1365.3489999999999</v>
      </c>
      <c r="L316" s="112">
        <f t="shared" si="149"/>
        <v>99.999926758706565</v>
      </c>
    </row>
    <row r="317" spans="1:12" s="122" customFormat="1" ht="13.5">
      <c r="A317" s="119" t="s">
        <v>301</v>
      </c>
      <c r="B317" s="120" t="s">
        <v>167</v>
      </c>
      <c r="C317" s="120" t="s">
        <v>78</v>
      </c>
      <c r="D317" s="120" t="s">
        <v>484</v>
      </c>
      <c r="E317" s="120" t="s">
        <v>763</v>
      </c>
      <c r="F317" s="120" t="s">
        <v>84</v>
      </c>
      <c r="G317" s="115"/>
      <c r="H317" s="134"/>
      <c r="I317" s="121">
        <f>I318</f>
        <v>1365.35</v>
      </c>
      <c r="J317" s="121">
        <f t="shared" si="159"/>
        <v>1365.3489999999999</v>
      </c>
      <c r="K317" s="121">
        <f>K318</f>
        <v>1365.3489999999999</v>
      </c>
      <c r="L317" s="121">
        <f t="shared" si="149"/>
        <v>99.999926758706565</v>
      </c>
    </row>
    <row r="318" spans="1:12" s="122" customFormat="1" ht="24">
      <c r="A318" s="119" t="s">
        <v>85</v>
      </c>
      <c r="B318" s="120" t="s">
        <v>167</v>
      </c>
      <c r="C318" s="120" t="s">
        <v>78</v>
      </c>
      <c r="D318" s="120" t="s">
        <v>484</v>
      </c>
      <c r="E318" s="120" t="s">
        <v>763</v>
      </c>
      <c r="F318" s="120" t="s">
        <v>86</v>
      </c>
      <c r="G318" s="115"/>
      <c r="H318" s="134"/>
      <c r="I318" s="121">
        <v>1365.35</v>
      </c>
      <c r="J318" s="121">
        <v>1365.3489999999999</v>
      </c>
      <c r="K318" s="121">
        <v>1365.3489999999999</v>
      </c>
      <c r="L318" s="121">
        <f t="shared" si="149"/>
        <v>99.999926758706565</v>
      </c>
    </row>
    <row r="319" spans="1:12" s="122" customFormat="1" ht="36">
      <c r="A319" s="128" t="s">
        <v>594</v>
      </c>
      <c r="B319" s="125" t="s">
        <v>167</v>
      </c>
      <c r="C319" s="125" t="s">
        <v>78</v>
      </c>
      <c r="D319" s="125" t="s">
        <v>484</v>
      </c>
      <c r="E319" s="129" t="s">
        <v>334</v>
      </c>
      <c r="F319" s="125"/>
      <c r="G319" s="126" t="e">
        <f>G320+#REF!+#REF!+G325+G328+G333+G338+G343</f>
        <v>#REF!</v>
      </c>
      <c r="H319" s="134" t="e">
        <f t="shared" si="132"/>
        <v>#REF!</v>
      </c>
      <c r="I319" s="126">
        <f>I320+I325+I328+I333+I338+I343</f>
        <v>923419.70918999997</v>
      </c>
      <c r="J319" s="126">
        <f t="shared" ref="J319" si="160">J320+J325+J328+J333+J338+J343</f>
        <v>629020.04500000004</v>
      </c>
      <c r="K319" s="126">
        <f>K320+K325+K328+K333+K338+K343</f>
        <v>921314.81518999999</v>
      </c>
      <c r="L319" s="126">
        <f t="shared" si="149"/>
        <v>99.772054464611088</v>
      </c>
    </row>
    <row r="320" spans="1:12" s="122" customFormat="1" ht="36">
      <c r="A320" s="110" t="s">
        <v>239</v>
      </c>
      <c r="B320" s="111" t="s">
        <v>167</v>
      </c>
      <c r="C320" s="111" t="s">
        <v>78</v>
      </c>
      <c r="D320" s="111" t="s">
        <v>484</v>
      </c>
      <c r="E320" s="111" t="s">
        <v>595</v>
      </c>
      <c r="F320" s="111"/>
      <c r="G320" s="112">
        <f>G321</f>
        <v>19534</v>
      </c>
      <c r="H320" s="134">
        <f t="shared" si="132"/>
        <v>8181.064190000001</v>
      </c>
      <c r="I320" s="112">
        <f>I321+I323</f>
        <v>27715.064190000001</v>
      </c>
      <c r="J320" s="112">
        <f t="shared" ref="J320" si="161">J321+J323</f>
        <v>9755.3119999999999</v>
      </c>
      <c r="K320" s="112">
        <f>K321+K323</f>
        <v>25938.064190000001</v>
      </c>
      <c r="L320" s="112">
        <f t="shared" si="149"/>
        <v>93.588324429567194</v>
      </c>
    </row>
    <row r="321" spans="1:12" s="122" customFormat="1" ht="24">
      <c r="A321" s="119" t="s">
        <v>596</v>
      </c>
      <c r="B321" s="120" t="s">
        <v>167</v>
      </c>
      <c r="C321" s="120" t="s">
        <v>78</v>
      </c>
      <c r="D321" s="120" t="s">
        <v>484</v>
      </c>
      <c r="E321" s="120" t="s">
        <v>595</v>
      </c>
      <c r="F321" s="120" t="s">
        <v>84</v>
      </c>
      <c r="G321" s="121">
        <f>G322</f>
        <v>19534</v>
      </c>
      <c r="H321" s="134">
        <f t="shared" si="132"/>
        <v>7544.3981899999999</v>
      </c>
      <c r="I321" s="121">
        <f>I322</f>
        <v>27078.39819</v>
      </c>
      <c r="J321" s="121">
        <f t="shared" ref="J321" si="162">J322</f>
        <v>9118.6460000000006</v>
      </c>
      <c r="K321" s="121">
        <f>K322</f>
        <v>25301.39819</v>
      </c>
      <c r="L321" s="121">
        <f t="shared" si="149"/>
        <v>93.437573420955744</v>
      </c>
    </row>
    <row r="322" spans="1:12" s="122" customFormat="1" ht="24">
      <c r="A322" s="119" t="s">
        <v>85</v>
      </c>
      <c r="B322" s="120" t="s">
        <v>167</v>
      </c>
      <c r="C322" s="120" t="s">
        <v>78</v>
      </c>
      <c r="D322" s="120" t="s">
        <v>484</v>
      </c>
      <c r="E322" s="120" t="s">
        <v>595</v>
      </c>
      <c r="F322" s="120" t="s">
        <v>86</v>
      </c>
      <c r="G322" s="121">
        <v>19534</v>
      </c>
      <c r="H322" s="134">
        <f t="shared" si="132"/>
        <v>7544.3981899999999</v>
      </c>
      <c r="I322" s="121">
        <f>19534+8181.06419-636.666</f>
        <v>27078.39819</v>
      </c>
      <c r="J322" s="121">
        <v>9118.6460000000006</v>
      </c>
      <c r="K322" s="121">
        <f>19534+8181.06419-636.666-1777</f>
        <v>25301.39819</v>
      </c>
      <c r="L322" s="121">
        <f t="shared" si="149"/>
        <v>93.437573420955744</v>
      </c>
    </row>
    <row r="323" spans="1:12" s="122" customFormat="1" ht="24">
      <c r="A323" s="119" t="s">
        <v>433</v>
      </c>
      <c r="B323" s="120" t="s">
        <v>167</v>
      </c>
      <c r="C323" s="120" t="s">
        <v>78</v>
      </c>
      <c r="D323" s="120" t="s">
        <v>484</v>
      </c>
      <c r="E323" s="120" t="s">
        <v>595</v>
      </c>
      <c r="F323" s="120" t="s">
        <v>434</v>
      </c>
      <c r="G323" s="121"/>
      <c r="H323" s="134"/>
      <c r="I323" s="121">
        <f>I324</f>
        <v>636.66600000000005</v>
      </c>
      <c r="J323" s="121">
        <f t="shared" ref="J323" si="163">J324</f>
        <v>636.66600000000005</v>
      </c>
      <c r="K323" s="121">
        <f>K324</f>
        <v>636.66600000000005</v>
      </c>
      <c r="L323" s="121">
        <f t="shared" si="149"/>
        <v>100</v>
      </c>
    </row>
    <row r="324" spans="1:12" s="122" customFormat="1">
      <c r="A324" s="119" t="s">
        <v>435</v>
      </c>
      <c r="B324" s="120" t="s">
        <v>167</v>
      </c>
      <c r="C324" s="120" t="s">
        <v>78</v>
      </c>
      <c r="D324" s="120" t="s">
        <v>484</v>
      </c>
      <c r="E324" s="120" t="s">
        <v>595</v>
      </c>
      <c r="F324" s="120" t="s">
        <v>436</v>
      </c>
      <c r="G324" s="121"/>
      <c r="H324" s="134"/>
      <c r="I324" s="121">
        <v>636.66600000000005</v>
      </c>
      <c r="J324" s="121">
        <v>636.66600000000005</v>
      </c>
      <c r="K324" s="121">
        <v>636.66600000000005</v>
      </c>
      <c r="L324" s="121">
        <f t="shared" si="149"/>
        <v>100</v>
      </c>
    </row>
    <row r="325" spans="1:12" s="122" customFormat="1">
      <c r="A325" s="110" t="s">
        <v>228</v>
      </c>
      <c r="B325" s="111" t="s">
        <v>167</v>
      </c>
      <c r="C325" s="111" t="s">
        <v>78</v>
      </c>
      <c r="D325" s="111" t="s">
        <v>484</v>
      </c>
      <c r="E325" s="111" t="s">
        <v>597</v>
      </c>
      <c r="F325" s="111"/>
      <c r="G325" s="112">
        <f>G326</f>
        <v>37562</v>
      </c>
      <c r="H325" s="134">
        <f t="shared" si="132"/>
        <v>-3673.0699999999997</v>
      </c>
      <c r="I325" s="112">
        <f>I326</f>
        <v>33888.93</v>
      </c>
      <c r="J325" s="112">
        <f t="shared" ref="J325:J326" si="164">J326</f>
        <v>29571.143</v>
      </c>
      <c r="K325" s="112">
        <f>K326</f>
        <v>33888.93</v>
      </c>
      <c r="L325" s="112">
        <f t="shared" si="149"/>
        <v>100</v>
      </c>
    </row>
    <row r="326" spans="1:12" s="122" customFormat="1" ht="24">
      <c r="A326" s="119" t="s">
        <v>596</v>
      </c>
      <c r="B326" s="120" t="s">
        <v>167</v>
      </c>
      <c r="C326" s="120" t="s">
        <v>78</v>
      </c>
      <c r="D326" s="120" t="s">
        <v>484</v>
      </c>
      <c r="E326" s="120" t="s">
        <v>597</v>
      </c>
      <c r="F326" s="120" t="s">
        <v>84</v>
      </c>
      <c r="G326" s="121">
        <f>G327</f>
        <v>37562</v>
      </c>
      <c r="H326" s="134">
        <f t="shared" si="132"/>
        <v>-3673.0699999999997</v>
      </c>
      <c r="I326" s="121">
        <f>I327</f>
        <v>33888.93</v>
      </c>
      <c r="J326" s="121">
        <f t="shared" si="164"/>
        <v>29571.143</v>
      </c>
      <c r="K326" s="121">
        <f>K327</f>
        <v>33888.93</v>
      </c>
      <c r="L326" s="121">
        <f t="shared" si="149"/>
        <v>100</v>
      </c>
    </row>
    <row r="327" spans="1:12" s="122" customFormat="1" ht="24">
      <c r="A327" s="119" t="s">
        <v>85</v>
      </c>
      <c r="B327" s="120" t="s">
        <v>167</v>
      </c>
      <c r="C327" s="120" t="s">
        <v>78</v>
      </c>
      <c r="D327" s="120" t="s">
        <v>484</v>
      </c>
      <c r="E327" s="120" t="s">
        <v>597</v>
      </c>
      <c r="F327" s="120" t="s">
        <v>86</v>
      </c>
      <c r="G327" s="121">
        <f>4450.7+33111.3</f>
        <v>37562</v>
      </c>
      <c r="H327" s="134">
        <f t="shared" si="132"/>
        <v>-3673.0699999999997</v>
      </c>
      <c r="I327" s="121">
        <f>4450.7+33111.3-2232.72-1365.35-75</f>
        <v>33888.93</v>
      </c>
      <c r="J327" s="121">
        <v>29571.143</v>
      </c>
      <c r="K327" s="121">
        <f>4450.7+33111.3-2232.72-1365.35-75</f>
        <v>33888.93</v>
      </c>
      <c r="L327" s="121">
        <f t="shared" si="149"/>
        <v>100</v>
      </c>
    </row>
    <row r="328" spans="1:12" s="122" customFormat="1" ht="24">
      <c r="A328" s="143" t="s">
        <v>598</v>
      </c>
      <c r="B328" s="125" t="s">
        <v>167</v>
      </c>
      <c r="C328" s="125" t="s">
        <v>78</v>
      </c>
      <c r="D328" s="125" t="s">
        <v>484</v>
      </c>
      <c r="E328" s="125" t="s">
        <v>43</v>
      </c>
      <c r="F328" s="125"/>
      <c r="G328" s="136">
        <f>G329</f>
        <v>151753.79999999999</v>
      </c>
      <c r="H328" s="134">
        <f t="shared" si="132"/>
        <v>161721.799</v>
      </c>
      <c r="I328" s="136">
        <f>I329+I331</f>
        <v>313475.59899999999</v>
      </c>
      <c r="J328" s="136">
        <f t="shared" ref="J328" si="165">J329+J331</f>
        <v>207587.777</v>
      </c>
      <c r="K328" s="136">
        <f>K329+K331</f>
        <v>313475.59899999999</v>
      </c>
      <c r="L328" s="126">
        <f t="shared" si="149"/>
        <v>100</v>
      </c>
    </row>
    <row r="329" spans="1:12" s="122" customFormat="1" ht="24">
      <c r="A329" s="119" t="s">
        <v>596</v>
      </c>
      <c r="B329" s="120" t="s">
        <v>167</v>
      </c>
      <c r="C329" s="120" t="s">
        <v>78</v>
      </c>
      <c r="D329" s="120" t="s">
        <v>484</v>
      </c>
      <c r="E329" s="120" t="s">
        <v>43</v>
      </c>
      <c r="F329" s="120" t="s">
        <v>84</v>
      </c>
      <c r="G329" s="135">
        <f>G330</f>
        <v>151753.79999999999</v>
      </c>
      <c r="H329" s="134">
        <f t="shared" si="132"/>
        <v>159346.799</v>
      </c>
      <c r="I329" s="135">
        <f>I330</f>
        <v>311100.59899999999</v>
      </c>
      <c r="J329" s="135">
        <f t="shared" ref="J329" si="166">J330</f>
        <v>205212.777</v>
      </c>
      <c r="K329" s="135">
        <f>K330</f>
        <v>311100.59899999999</v>
      </c>
      <c r="L329" s="121">
        <f t="shared" si="149"/>
        <v>100</v>
      </c>
    </row>
    <row r="330" spans="1:12" s="122" customFormat="1" ht="24">
      <c r="A330" s="119" t="s">
        <v>85</v>
      </c>
      <c r="B330" s="120" t="s">
        <v>167</v>
      </c>
      <c r="C330" s="120" t="s">
        <v>78</v>
      </c>
      <c r="D330" s="120" t="s">
        <v>484</v>
      </c>
      <c r="E330" s="120" t="s">
        <v>43</v>
      </c>
      <c r="F330" s="120" t="s">
        <v>86</v>
      </c>
      <c r="G330" s="135">
        <v>151753.79999999999</v>
      </c>
      <c r="H330" s="134">
        <f t="shared" si="132"/>
        <v>159346.799</v>
      </c>
      <c r="I330" s="135">
        <f>151753.82-24750-2375+150000+11721.779+10800+13950</f>
        <v>311100.59899999999</v>
      </c>
      <c r="J330" s="135">
        <v>205212.777</v>
      </c>
      <c r="K330" s="135">
        <f>151753.82-24750-2375+150000+11721.779+10800+13950</f>
        <v>311100.59899999999</v>
      </c>
      <c r="L330" s="121">
        <f t="shared" si="149"/>
        <v>100</v>
      </c>
    </row>
    <row r="331" spans="1:12" s="122" customFormat="1" ht="24">
      <c r="A331" s="119" t="s">
        <v>433</v>
      </c>
      <c r="B331" s="120" t="s">
        <v>167</v>
      </c>
      <c r="C331" s="120" t="s">
        <v>78</v>
      </c>
      <c r="D331" s="120" t="s">
        <v>484</v>
      </c>
      <c r="E331" s="120" t="s">
        <v>43</v>
      </c>
      <c r="F331" s="120" t="s">
        <v>434</v>
      </c>
      <c r="G331" s="135"/>
      <c r="H331" s="134"/>
      <c r="I331" s="135">
        <f>I332</f>
        <v>2375</v>
      </c>
      <c r="J331" s="135">
        <f t="shared" ref="J331" si="167">J332</f>
        <v>2375</v>
      </c>
      <c r="K331" s="135">
        <f>K332</f>
        <v>2375</v>
      </c>
      <c r="L331" s="121">
        <f t="shared" si="149"/>
        <v>100</v>
      </c>
    </row>
    <row r="332" spans="1:12" s="122" customFormat="1">
      <c r="A332" s="119" t="s">
        <v>435</v>
      </c>
      <c r="B332" s="120" t="s">
        <v>167</v>
      </c>
      <c r="C332" s="120" t="s">
        <v>78</v>
      </c>
      <c r="D332" s="120" t="s">
        <v>484</v>
      </c>
      <c r="E332" s="120" t="s">
        <v>43</v>
      </c>
      <c r="F332" s="120" t="s">
        <v>436</v>
      </c>
      <c r="G332" s="135"/>
      <c r="H332" s="134"/>
      <c r="I332" s="135">
        <f>24750+2375-10800-13950</f>
        <v>2375</v>
      </c>
      <c r="J332" s="135">
        <v>2375</v>
      </c>
      <c r="K332" s="135">
        <f>24750+2375-10800-13950</f>
        <v>2375</v>
      </c>
      <c r="L332" s="121">
        <f t="shared" si="149"/>
        <v>100</v>
      </c>
    </row>
    <row r="333" spans="1:12" s="122" customFormat="1" ht="36">
      <c r="A333" s="124" t="s">
        <v>240</v>
      </c>
      <c r="B333" s="125" t="s">
        <v>167</v>
      </c>
      <c r="C333" s="125" t="s">
        <v>78</v>
      </c>
      <c r="D333" s="125" t="s">
        <v>484</v>
      </c>
      <c r="E333" s="125" t="s">
        <v>44</v>
      </c>
      <c r="F333" s="125"/>
      <c r="G333" s="136">
        <f>G334</f>
        <v>10623</v>
      </c>
      <c r="H333" s="134">
        <f t="shared" si="132"/>
        <v>8947.4199999999983</v>
      </c>
      <c r="I333" s="136">
        <f>I334+I336</f>
        <v>19570.419999999998</v>
      </c>
      <c r="J333" s="136">
        <f t="shared" ref="J333" si="168">J334+J336</f>
        <v>8736.6880000000001</v>
      </c>
      <c r="K333" s="136">
        <f>K334+K336</f>
        <v>19570.419999999998</v>
      </c>
      <c r="L333" s="126">
        <f t="shared" si="149"/>
        <v>100</v>
      </c>
    </row>
    <row r="334" spans="1:12" s="122" customFormat="1" ht="24">
      <c r="A334" s="119" t="s">
        <v>596</v>
      </c>
      <c r="B334" s="120" t="s">
        <v>167</v>
      </c>
      <c r="C334" s="120" t="s">
        <v>78</v>
      </c>
      <c r="D334" s="120" t="s">
        <v>484</v>
      </c>
      <c r="E334" s="120" t="s">
        <v>44</v>
      </c>
      <c r="F334" s="120" t="s">
        <v>84</v>
      </c>
      <c r="G334" s="135">
        <f>G335</f>
        <v>10623</v>
      </c>
      <c r="H334" s="134">
        <f t="shared" si="132"/>
        <v>8822.4199999999983</v>
      </c>
      <c r="I334" s="135">
        <f>I335</f>
        <v>19445.419999999998</v>
      </c>
      <c r="J334" s="135">
        <f t="shared" ref="J334" si="169">J335</f>
        <v>8611.6880000000001</v>
      </c>
      <c r="K334" s="135">
        <f>K335</f>
        <v>19445.419999999998</v>
      </c>
      <c r="L334" s="121">
        <f t="shared" si="149"/>
        <v>100</v>
      </c>
    </row>
    <row r="335" spans="1:12" s="122" customFormat="1" ht="24">
      <c r="A335" s="119" t="s">
        <v>85</v>
      </c>
      <c r="B335" s="120" t="s">
        <v>167</v>
      </c>
      <c r="C335" s="120" t="s">
        <v>78</v>
      </c>
      <c r="D335" s="120" t="s">
        <v>484</v>
      </c>
      <c r="E335" s="120" t="s">
        <v>44</v>
      </c>
      <c r="F335" s="120" t="s">
        <v>86</v>
      </c>
      <c r="G335" s="135">
        <v>10623</v>
      </c>
      <c r="H335" s="134">
        <f t="shared" si="132"/>
        <v>8822.4199999999983</v>
      </c>
      <c r="I335" s="135">
        <f>10623-2750+2232.72-125+1200+6714.7+1550</f>
        <v>19445.419999999998</v>
      </c>
      <c r="J335" s="135">
        <v>8611.6880000000001</v>
      </c>
      <c r="K335" s="135">
        <f>10623-2750+2232.72-125+1200+6714.7+1550</f>
        <v>19445.419999999998</v>
      </c>
      <c r="L335" s="121">
        <f t="shared" si="149"/>
        <v>100</v>
      </c>
    </row>
    <row r="336" spans="1:12" s="122" customFormat="1" ht="24">
      <c r="A336" s="119" t="s">
        <v>433</v>
      </c>
      <c r="B336" s="120" t="s">
        <v>167</v>
      </c>
      <c r="C336" s="120" t="s">
        <v>78</v>
      </c>
      <c r="D336" s="120" t="s">
        <v>484</v>
      </c>
      <c r="E336" s="120" t="s">
        <v>44</v>
      </c>
      <c r="F336" s="120" t="s">
        <v>434</v>
      </c>
      <c r="G336" s="135"/>
      <c r="H336" s="134"/>
      <c r="I336" s="135">
        <f>I337</f>
        <v>125</v>
      </c>
      <c r="J336" s="135">
        <f t="shared" ref="J336" si="170">J337</f>
        <v>125</v>
      </c>
      <c r="K336" s="135">
        <f>K337</f>
        <v>125</v>
      </c>
      <c r="L336" s="121">
        <f t="shared" si="149"/>
        <v>100</v>
      </c>
    </row>
    <row r="337" spans="1:12" s="122" customFormat="1">
      <c r="A337" s="119" t="s">
        <v>435</v>
      </c>
      <c r="B337" s="120" t="s">
        <v>167</v>
      </c>
      <c r="C337" s="120" t="s">
        <v>78</v>
      </c>
      <c r="D337" s="120" t="s">
        <v>484</v>
      </c>
      <c r="E337" s="120" t="s">
        <v>44</v>
      </c>
      <c r="F337" s="120" t="s">
        <v>436</v>
      </c>
      <c r="G337" s="135"/>
      <c r="H337" s="134"/>
      <c r="I337" s="135">
        <f>2750+125-1200-1550</f>
        <v>125</v>
      </c>
      <c r="J337" s="135">
        <v>125</v>
      </c>
      <c r="K337" s="135">
        <f>2750+125-1200-1550</f>
        <v>125</v>
      </c>
      <c r="L337" s="121">
        <f t="shared" si="149"/>
        <v>100</v>
      </c>
    </row>
    <row r="338" spans="1:12" s="122" customFormat="1" ht="48">
      <c r="A338" s="110" t="s">
        <v>707</v>
      </c>
      <c r="B338" s="111" t="s">
        <v>167</v>
      </c>
      <c r="C338" s="111" t="s">
        <v>586</v>
      </c>
      <c r="D338" s="111" t="s">
        <v>484</v>
      </c>
      <c r="E338" s="111" t="s">
        <v>587</v>
      </c>
      <c r="F338" s="111"/>
      <c r="G338" s="134">
        <f>G339+G341</f>
        <v>400000</v>
      </c>
      <c r="H338" s="134">
        <f t="shared" ref="H338:H407" si="171">I338-G338</f>
        <v>0</v>
      </c>
      <c r="I338" s="134">
        <f>I339+I341</f>
        <v>400000</v>
      </c>
      <c r="J338" s="134">
        <f t="shared" ref="J338" si="172">J339+J341</f>
        <v>272246.82900000003</v>
      </c>
      <c r="K338" s="134">
        <f>K339+K341</f>
        <v>400000</v>
      </c>
      <c r="L338" s="112">
        <f t="shared" si="149"/>
        <v>100</v>
      </c>
    </row>
    <row r="339" spans="1:12" s="122" customFormat="1" ht="24">
      <c r="A339" s="119" t="s">
        <v>596</v>
      </c>
      <c r="B339" s="120" t="s">
        <v>167</v>
      </c>
      <c r="C339" s="120" t="s">
        <v>78</v>
      </c>
      <c r="D339" s="120" t="s">
        <v>484</v>
      </c>
      <c r="E339" s="120" t="s">
        <v>587</v>
      </c>
      <c r="F339" s="120" t="s">
        <v>84</v>
      </c>
      <c r="G339" s="135">
        <f>G340</f>
        <v>329000</v>
      </c>
      <c r="H339" s="134">
        <f t="shared" si="171"/>
        <v>0</v>
      </c>
      <c r="I339" s="135">
        <f>I340</f>
        <v>329000</v>
      </c>
      <c r="J339" s="135">
        <f t="shared" ref="J339" si="173">J340</f>
        <v>239047.76800000001</v>
      </c>
      <c r="K339" s="135">
        <f>K340</f>
        <v>329000</v>
      </c>
      <c r="L339" s="121">
        <f t="shared" si="149"/>
        <v>100</v>
      </c>
    </row>
    <row r="340" spans="1:12" s="122" customFormat="1" ht="24">
      <c r="A340" s="119" t="s">
        <v>85</v>
      </c>
      <c r="B340" s="120" t="s">
        <v>167</v>
      </c>
      <c r="C340" s="120" t="s">
        <v>78</v>
      </c>
      <c r="D340" s="120" t="s">
        <v>484</v>
      </c>
      <c r="E340" s="120" t="s">
        <v>587</v>
      </c>
      <c r="F340" s="120" t="s">
        <v>86</v>
      </c>
      <c r="G340" s="135">
        <v>329000</v>
      </c>
      <c r="H340" s="134">
        <f t="shared" si="171"/>
        <v>0</v>
      </c>
      <c r="I340" s="135">
        <v>329000</v>
      </c>
      <c r="J340" s="135">
        <v>239047.76800000001</v>
      </c>
      <c r="K340" s="135">
        <v>329000</v>
      </c>
      <c r="L340" s="121">
        <f t="shared" si="149"/>
        <v>100</v>
      </c>
    </row>
    <row r="341" spans="1:12" s="122" customFormat="1" ht="24">
      <c r="A341" s="119" t="s">
        <v>433</v>
      </c>
      <c r="B341" s="120" t="s">
        <v>167</v>
      </c>
      <c r="C341" s="120" t="s">
        <v>78</v>
      </c>
      <c r="D341" s="120" t="s">
        <v>484</v>
      </c>
      <c r="E341" s="120" t="s">
        <v>587</v>
      </c>
      <c r="F341" s="120" t="s">
        <v>434</v>
      </c>
      <c r="G341" s="135">
        <f>G342</f>
        <v>71000</v>
      </c>
      <c r="H341" s="134">
        <f t="shared" si="171"/>
        <v>0</v>
      </c>
      <c r="I341" s="135">
        <f>I342</f>
        <v>71000</v>
      </c>
      <c r="J341" s="135">
        <f t="shared" ref="J341" si="174">J342</f>
        <v>33199.061000000002</v>
      </c>
      <c r="K341" s="135">
        <f>K342</f>
        <v>71000</v>
      </c>
      <c r="L341" s="121">
        <f t="shared" si="149"/>
        <v>100</v>
      </c>
    </row>
    <row r="342" spans="1:12" s="122" customFormat="1">
      <c r="A342" s="119" t="s">
        <v>435</v>
      </c>
      <c r="B342" s="120" t="s">
        <v>167</v>
      </c>
      <c r="C342" s="120" t="s">
        <v>78</v>
      </c>
      <c r="D342" s="120" t="s">
        <v>484</v>
      </c>
      <c r="E342" s="120" t="s">
        <v>587</v>
      </c>
      <c r="F342" s="120" t="s">
        <v>436</v>
      </c>
      <c r="G342" s="135">
        <v>71000</v>
      </c>
      <c r="H342" s="134">
        <f t="shared" si="171"/>
        <v>0</v>
      </c>
      <c r="I342" s="135">
        <v>71000</v>
      </c>
      <c r="J342" s="135">
        <v>33199.061000000002</v>
      </c>
      <c r="K342" s="135">
        <v>71000</v>
      </c>
      <c r="L342" s="121">
        <f t="shared" si="149"/>
        <v>100</v>
      </c>
    </row>
    <row r="343" spans="1:12" s="122" customFormat="1" ht="24">
      <c r="A343" s="110" t="s">
        <v>588</v>
      </c>
      <c r="B343" s="111" t="s">
        <v>167</v>
      </c>
      <c r="C343" s="111" t="s">
        <v>586</v>
      </c>
      <c r="D343" s="111" t="s">
        <v>484</v>
      </c>
      <c r="E343" s="111" t="s">
        <v>589</v>
      </c>
      <c r="F343" s="111"/>
      <c r="G343" s="134">
        <f>G344+G346</f>
        <v>100243</v>
      </c>
      <c r="H343" s="134">
        <f t="shared" si="171"/>
        <v>28526.695999999996</v>
      </c>
      <c r="I343" s="134">
        <f>I344+I346</f>
        <v>128769.696</v>
      </c>
      <c r="J343" s="134">
        <f t="shared" ref="J343" si="175">J344+J346</f>
        <v>101122.296</v>
      </c>
      <c r="K343" s="134">
        <f>K344+K346</f>
        <v>128441.802</v>
      </c>
      <c r="L343" s="112">
        <f t="shared" si="149"/>
        <v>99.745364002412501</v>
      </c>
    </row>
    <row r="344" spans="1:12" s="122" customFormat="1" ht="24">
      <c r="A344" s="119" t="s">
        <v>596</v>
      </c>
      <c r="B344" s="120" t="s">
        <v>167</v>
      </c>
      <c r="C344" s="120" t="s">
        <v>78</v>
      </c>
      <c r="D344" s="120" t="s">
        <v>484</v>
      </c>
      <c r="E344" s="120" t="s">
        <v>589</v>
      </c>
      <c r="F344" s="120" t="s">
        <v>84</v>
      </c>
      <c r="G344" s="135">
        <f>G345</f>
        <v>91437.55</v>
      </c>
      <c r="H344" s="134">
        <f t="shared" si="171"/>
        <v>28526.695999999996</v>
      </c>
      <c r="I344" s="135">
        <f>I345</f>
        <v>119964.246</v>
      </c>
      <c r="J344" s="135">
        <f t="shared" ref="J344" si="176">J345</f>
        <v>101122.296</v>
      </c>
      <c r="K344" s="135">
        <f>K345</f>
        <v>119636.352</v>
      </c>
      <c r="L344" s="121">
        <f t="shared" si="149"/>
        <v>99.726673562387916</v>
      </c>
    </row>
    <row r="345" spans="1:12" s="122" customFormat="1" ht="24">
      <c r="A345" s="119" t="s">
        <v>85</v>
      </c>
      <c r="B345" s="120" t="s">
        <v>167</v>
      </c>
      <c r="C345" s="120" t="s">
        <v>78</v>
      </c>
      <c r="D345" s="120" t="s">
        <v>484</v>
      </c>
      <c r="E345" s="120" t="s">
        <v>589</v>
      </c>
      <c r="F345" s="120" t="s">
        <v>86</v>
      </c>
      <c r="G345" s="135">
        <v>91437.55</v>
      </c>
      <c r="H345" s="134">
        <f t="shared" si="171"/>
        <v>28526.695999999996</v>
      </c>
      <c r="I345" s="135">
        <f>91437.55+28526.696</f>
        <v>119964.246</v>
      </c>
      <c r="J345" s="135">
        <v>101122.296</v>
      </c>
      <c r="K345" s="135">
        <f>91437.55+28526.696-327.894</f>
        <v>119636.352</v>
      </c>
      <c r="L345" s="121">
        <f t="shared" si="149"/>
        <v>99.726673562387916</v>
      </c>
    </row>
    <row r="346" spans="1:12" s="122" customFormat="1" ht="24">
      <c r="A346" s="119" t="s">
        <v>433</v>
      </c>
      <c r="B346" s="120" t="s">
        <v>167</v>
      </c>
      <c r="C346" s="120" t="s">
        <v>78</v>
      </c>
      <c r="D346" s="120" t="s">
        <v>484</v>
      </c>
      <c r="E346" s="120" t="s">
        <v>589</v>
      </c>
      <c r="F346" s="120" t="s">
        <v>434</v>
      </c>
      <c r="G346" s="135">
        <f>G347</f>
        <v>8805.4500000000007</v>
      </c>
      <c r="H346" s="134">
        <f t="shared" si="171"/>
        <v>0</v>
      </c>
      <c r="I346" s="135">
        <f>I347</f>
        <v>8805.4500000000007</v>
      </c>
      <c r="J346" s="135">
        <f t="shared" ref="J346" si="177">J347</f>
        <v>0</v>
      </c>
      <c r="K346" s="135">
        <f>K347</f>
        <v>8805.4500000000007</v>
      </c>
      <c r="L346" s="121">
        <f t="shared" si="149"/>
        <v>100</v>
      </c>
    </row>
    <row r="347" spans="1:12" s="122" customFormat="1">
      <c r="A347" s="119" t="s">
        <v>435</v>
      </c>
      <c r="B347" s="120" t="s">
        <v>167</v>
      </c>
      <c r="C347" s="120" t="s">
        <v>78</v>
      </c>
      <c r="D347" s="120" t="s">
        <v>484</v>
      </c>
      <c r="E347" s="120" t="s">
        <v>589</v>
      </c>
      <c r="F347" s="120" t="s">
        <v>436</v>
      </c>
      <c r="G347" s="135">
        <v>8805.4500000000007</v>
      </c>
      <c r="H347" s="134">
        <f t="shared" si="171"/>
        <v>0</v>
      </c>
      <c r="I347" s="135">
        <v>8805.4500000000007</v>
      </c>
      <c r="J347" s="135">
        <v>0</v>
      </c>
      <c r="K347" s="135">
        <f>8805.45</f>
        <v>8805.4500000000007</v>
      </c>
      <c r="L347" s="121">
        <f t="shared" si="149"/>
        <v>100</v>
      </c>
    </row>
    <row r="348" spans="1:12" s="122" customFormat="1" ht="24">
      <c r="A348" s="124" t="s">
        <v>456</v>
      </c>
      <c r="B348" s="125" t="s">
        <v>167</v>
      </c>
      <c r="C348" s="125" t="s">
        <v>78</v>
      </c>
      <c r="D348" s="125" t="s">
        <v>484</v>
      </c>
      <c r="E348" s="125" t="s">
        <v>329</v>
      </c>
      <c r="F348" s="125"/>
      <c r="G348" s="126">
        <f>G349+G357</f>
        <v>18034.3</v>
      </c>
      <c r="H348" s="134">
        <f t="shared" si="171"/>
        <v>22075.000000000004</v>
      </c>
      <c r="I348" s="126">
        <f>I349+I357</f>
        <v>40109.300000000003</v>
      </c>
      <c r="J348" s="126">
        <f t="shared" ref="J348" si="178">J349+J357</f>
        <v>25594.163</v>
      </c>
      <c r="K348" s="126">
        <f>K349+K357</f>
        <v>40109.300000000003</v>
      </c>
      <c r="L348" s="126">
        <f t="shared" si="149"/>
        <v>100</v>
      </c>
    </row>
    <row r="349" spans="1:12" s="122" customFormat="1">
      <c r="A349" s="159" t="s">
        <v>335</v>
      </c>
      <c r="B349" s="139" t="s">
        <v>167</v>
      </c>
      <c r="C349" s="139" t="s">
        <v>78</v>
      </c>
      <c r="D349" s="139" t="s">
        <v>484</v>
      </c>
      <c r="E349" s="160" t="s">
        <v>599</v>
      </c>
      <c r="F349" s="139"/>
      <c r="G349" s="144">
        <f>G350</f>
        <v>4350</v>
      </c>
      <c r="H349" s="134">
        <f t="shared" si="171"/>
        <v>75</v>
      </c>
      <c r="I349" s="144">
        <f>I350</f>
        <v>4425</v>
      </c>
      <c r="J349" s="144">
        <f t="shared" ref="J349" si="179">J350</f>
        <v>3025.8559999999998</v>
      </c>
      <c r="K349" s="144">
        <f>K350</f>
        <v>4425</v>
      </c>
      <c r="L349" s="144">
        <f t="shared" si="149"/>
        <v>100</v>
      </c>
    </row>
    <row r="350" spans="1:12" s="122" customFormat="1" ht="24">
      <c r="A350" s="110" t="s">
        <v>485</v>
      </c>
      <c r="B350" s="111" t="s">
        <v>167</v>
      </c>
      <c r="C350" s="111" t="s">
        <v>78</v>
      </c>
      <c r="D350" s="111" t="s">
        <v>484</v>
      </c>
      <c r="E350" s="111" t="s">
        <v>599</v>
      </c>
      <c r="F350" s="111"/>
      <c r="G350" s="112">
        <f>G351+G353+G355</f>
        <v>4350</v>
      </c>
      <c r="H350" s="134">
        <f t="shared" si="171"/>
        <v>75</v>
      </c>
      <c r="I350" s="112">
        <f>I351+I353+I355</f>
        <v>4425</v>
      </c>
      <c r="J350" s="112">
        <f t="shared" ref="J350" si="180">J351+J353+J355</f>
        <v>3025.8559999999998</v>
      </c>
      <c r="K350" s="112">
        <f>K351+K353+K355</f>
        <v>4425</v>
      </c>
      <c r="L350" s="112">
        <f t="shared" si="149"/>
        <v>100</v>
      </c>
    </row>
    <row r="351" spans="1:12" s="122" customFormat="1" ht="36">
      <c r="A351" s="119" t="s">
        <v>79</v>
      </c>
      <c r="B351" s="120" t="s">
        <v>167</v>
      </c>
      <c r="C351" s="120" t="s">
        <v>78</v>
      </c>
      <c r="D351" s="120" t="s">
        <v>484</v>
      </c>
      <c r="E351" s="120" t="s">
        <v>599</v>
      </c>
      <c r="F351" s="120" t="s">
        <v>80</v>
      </c>
      <c r="G351" s="121">
        <f>G352</f>
        <v>3890</v>
      </c>
      <c r="H351" s="134">
        <f t="shared" si="171"/>
        <v>-65</v>
      </c>
      <c r="I351" s="121">
        <f>I352</f>
        <v>3825</v>
      </c>
      <c r="J351" s="121">
        <f t="shared" ref="J351" si="181">J352</f>
        <v>2703.8989999999999</v>
      </c>
      <c r="K351" s="121">
        <f>K352</f>
        <v>3825</v>
      </c>
      <c r="L351" s="121">
        <f t="shared" si="149"/>
        <v>100</v>
      </c>
    </row>
    <row r="352" spans="1:12" s="122" customFormat="1">
      <c r="A352" s="119" t="s">
        <v>486</v>
      </c>
      <c r="B352" s="120" t="s">
        <v>167</v>
      </c>
      <c r="C352" s="120" t="s">
        <v>78</v>
      </c>
      <c r="D352" s="120" t="s">
        <v>484</v>
      </c>
      <c r="E352" s="120" t="s">
        <v>599</v>
      </c>
      <c r="F352" s="120" t="s">
        <v>487</v>
      </c>
      <c r="G352" s="121">
        <f>2990+900</f>
        <v>3890</v>
      </c>
      <c r="H352" s="134">
        <f t="shared" si="171"/>
        <v>-65</v>
      </c>
      <c r="I352" s="121">
        <f>2990+900-65</f>
        <v>3825</v>
      </c>
      <c r="J352" s="121">
        <v>2703.8989999999999</v>
      </c>
      <c r="K352" s="121">
        <f>2990+900-65</f>
        <v>3825</v>
      </c>
      <c r="L352" s="121">
        <f t="shared" si="149"/>
        <v>100</v>
      </c>
    </row>
    <row r="353" spans="1:12" s="122" customFormat="1" ht="24">
      <c r="A353" s="119" t="s">
        <v>596</v>
      </c>
      <c r="B353" s="120" t="s">
        <v>167</v>
      </c>
      <c r="C353" s="120" t="s">
        <v>78</v>
      </c>
      <c r="D353" s="120" t="s">
        <v>484</v>
      </c>
      <c r="E353" s="120" t="s">
        <v>599</v>
      </c>
      <c r="F353" s="120" t="s">
        <v>84</v>
      </c>
      <c r="G353" s="121">
        <f>G354</f>
        <v>294.7</v>
      </c>
      <c r="H353" s="134">
        <f t="shared" si="171"/>
        <v>110.88100000000003</v>
      </c>
      <c r="I353" s="121">
        <f>I354</f>
        <v>405.58100000000002</v>
      </c>
      <c r="J353" s="121">
        <f t="shared" ref="J353" si="182">J354</f>
        <v>163.1</v>
      </c>
      <c r="K353" s="121">
        <f>K354</f>
        <v>405.58100000000002</v>
      </c>
      <c r="L353" s="121">
        <f t="shared" si="149"/>
        <v>100</v>
      </c>
    </row>
    <row r="354" spans="1:12" s="122" customFormat="1" ht="24">
      <c r="A354" s="119" t="s">
        <v>85</v>
      </c>
      <c r="B354" s="120" t="s">
        <v>167</v>
      </c>
      <c r="C354" s="120" t="s">
        <v>78</v>
      </c>
      <c r="D354" s="120" t="s">
        <v>484</v>
      </c>
      <c r="E354" s="120" t="s">
        <v>599</v>
      </c>
      <c r="F354" s="120" t="s">
        <v>86</v>
      </c>
      <c r="G354" s="121">
        <f>99+104.5+91.2</f>
        <v>294.7</v>
      </c>
      <c r="H354" s="134">
        <f t="shared" si="171"/>
        <v>110.88100000000003</v>
      </c>
      <c r="I354" s="121">
        <f>99+104.5+91.2-29.119+65+75</f>
        <v>405.58100000000002</v>
      </c>
      <c r="J354" s="121">
        <v>163.1</v>
      </c>
      <c r="K354" s="121">
        <f>99+104.5+91.2-29.119+65+75</f>
        <v>405.58100000000002</v>
      </c>
      <c r="L354" s="121">
        <f t="shared" si="149"/>
        <v>100</v>
      </c>
    </row>
    <row r="355" spans="1:12" s="122" customFormat="1">
      <c r="A355" s="119" t="s">
        <v>87</v>
      </c>
      <c r="B355" s="120" t="s">
        <v>167</v>
      </c>
      <c r="C355" s="120" t="s">
        <v>78</v>
      </c>
      <c r="D355" s="120" t="s">
        <v>484</v>
      </c>
      <c r="E355" s="120" t="s">
        <v>599</v>
      </c>
      <c r="F355" s="120" t="s">
        <v>88</v>
      </c>
      <c r="G355" s="121">
        <f>G356</f>
        <v>165.3</v>
      </c>
      <c r="H355" s="134">
        <f t="shared" si="171"/>
        <v>29.119</v>
      </c>
      <c r="I355" s="121">
        <f>I356</f>
        <v>194.41900000000001</v>
      </c>
      <c r="J355" s="121">
        <f t="shared" ref="J355" si="183">J356</f>
        <v>158.857</v>
      </c>
      <c r="K355" s="121">
        <f>K356</f>
        <v>194.41900000000001</v>
      </c>
      <c r="L355" s="121">
        <f t="shared" si="149"/>
        <v>100</v>
      </c>
    </row>
    <row r="356" spans="1:12" s="122" customFormat="1">
      <c r="A356" s="119" t="s">
        <v>155</v>
      </c>
      <c r="B356" s="120" t="s">
        <v>167</v>
      </c>
      <c r="C356" s="120" t="s">
        <v>78</v>
      </c>
      <c r="D356" s="120" t="s">
        <v>484</v>
      </c>
      <c r="E356" s="120" t="s">
        <v>599</v>
      </c>
      <c r="F356" s="120" t="s">
        <v>89</v>
      </c>
      <c r="G356" s="121">
        <v>165.3</v>
      </c>
      <c r="H356" s="134">
        <f t="shared" si="171"/>
        <v>29.119</v>
      </c>
      <c r="I356" s="121">
        <f>165.3+29.119</f>
        <v>194.41900000000001</v>
      </c>
      <c r="J356" s="121">
        <v>158.857</v>
      </c>
      <c r="K356" s="121">
        <f>165.3+29.119</f>
        <v>194.41900000000001</v>
      </c>
      <c r="L356" s="121">
        <f t="shared" si="149"/>
        <v>100</v>
      </c>
    </row>
    <row r="357" spans="1:12" s="122" customFormat="1">
      <c r="A357" s="128" t="s">
        <v>336</v>
      </c>
      <c r="B357" s="125" t="s">
        <v>167</v>
      </c>
      <c r="C357" s="125" t="s">
        <v>78</v>
      </c>
      <c r="D357" s="125" t="s">
        <v>484</v>
      </c>
      <c r="E357" s="129" t="s">
        <v>600</v>
      </c>
      <c r="F357" s="125"/>
      <c r="G357" s="126">
        <f>G358</f>
        <v>13684.3</v>
      </c>
      <c r="H357" s="134">
        <f t="shared" si="171"/>
        <v>22000.000000000004</v>
      </c>
      <c r="I357" s="126">
        <f>I358</f>
        <v>35684.300000000003</v>
      </c>
      <c r="J357" s="126">
        <f t="shared" ref="J357:J358" si="184">J358</f>
        <v>22568.307000000001</v>
      </c>
      <c r="K357" s="126">
        <f>K358</f>
        <v>35684.300000000003</v>
      </c>
      <c r="L357" s="126">
        <f t="shared" si="149"/>
        <v>100</v>
      </c>
    </row>
    <row r="358" spans="1:12" s="122" customFormat="1" ht="24">
      <c r="A358" s="119" t="s">
        <v>104</v>
      </c>
      <c r="B358" s="120" t="s">
        <v>167</v>
      </c>
      <c r="C358" s="120" t="s">
        <v>78</v>
      </c>
      <c r="D358" s="120" t="s">
        <v>484</v>
      </c>
      <c r="E358" s="120" t="s">
        <v>600</v>
      </c>
      <c r="F358" s="120" t="s">
        <v>408</v>
      </c>
      <c r="G358" s="121">
        <f>G359</f>
        <v>13684.3</v>
      </c>
      <c r="H358" s="134">
        <f t="shared" si="171"/>
        <v>22000.000000000004</v>
      </c>
      <c r="I358" s="121">
        <f>I359</f>
        <v>35684.300000000003</v>
      </c>
      <c r="J358" s="121">
        <f t="shared" si="184"/>
        <v>22568.307000000001</v>
      </c>
      <c r="K358" s="121">
        <f>K359</f>
        <v>35684.300000000003</v>
      </c>
      <c r="L358" s="121">
        <f t="shared" si="149"/>
        <v>100</v>
      </c>
    </row>
    <row r="359" spans="1:12" s="122" customFormat="1">
      <c r="A359" s="119" t="s">
        <v>105</v>
      </c>
      <c r="B359" s="120" t="s">
        <v>167</v>
      </c>
      <c r="C359" s="120" t="s">
        <v>78</v>
      </c>
      <c r="D359" s="120" t="s">
        <v>484</v>
      </c>
      <c r="E359" s="120" t="s">
        <v>600</v>
      </c>
      <c r="F359" s="120" t="s">
        <v>425</v>
      </c>
      <c r="G359" s="121">
        <v>13684.3</v>
      </c>
      <c r="H359" s="134">
        <f t="shared" si="171"/>
        <v>22000.000000000004</v>
      </c>
      <c r="I359" s="121">
        <f>13684.3+10000+1000+11000</f>
        <v>35684.300000000003</v>
      </c>
      <c r="J359" s="121">
        <v>22568.307000000001</v>
      </c>
      <c r="K359" s="121">
        <f>13684.3+10000+1000+11000</f>
        <v>35684.300000000003</v>
      </c>
      <c r="L359" s="121">
        <f t="shared" si="149"/>
        <v>100</v>
      </c>
    </row>
    <row r="360" spans="1:12" s="122" customFormat="1" ht="31.5">
      <c r="A360" s="113" t="s">
        <v>413</v>
      </c>
      <c r="B360" s="254" t="s">
        <v>409</v>
      </c>
      <c r="C360" s="117"/>
      <c r="D360" s="117"/>
      <c r="E360" s="117"/>
      <c r="F360" s="117"/>
      <c r="G360" s="118">
        <f>G361+G381</f>
        <v>212860.79999999999</v>
      </c>
      <c r="H360" s="134">
        <f t="shared" si="171"/>
        <v>69.892470000020694</v>
      </c>
      <c r="I360" s="118">
        <f>I361+I381</f>
        <v>212930.69247000001</v>
      </c>
      <c r="J360" s="118">
        <f t="shared" ref="J360" si="185">J361+J381</f>
        <v>135055.72341999999</v>
      </c>
      <c r="K360" s="118">
        <f>K361+K381</f>
        <v>198930.69247000001</v>
      </c>
      <c r="L360" s="118">
        <f>K360/I360*100</f>
        <v>93.425090653865013</v>
      </c>
    </row>
    <row r="361" spans="1:12" s="122" customFormat="1">
      <c r="A361" s="110" t="s">
        <v>381</v>
      </c>
      <c r="B361" s="111">
        <v>603</v>
      </c>
      <c r="C361" s="111" t="s">
        <v>490</v>
      </c>
      <c r="D361" s="111" t="s">
        <v>77</v>
      </c>
      <c r="E361" s="111"/>
      <c r="F361" s="111"/>
      <c r="G361" s="112">
        <f>G363+G369</f>
        <v>96978.6</v>
      </c>
      <c r="H361" s="134">
        <f t="shared" si="171"/>
        <v>-4970.8000000000029</v>
      </c>
      <c r="I361" s="112">
        <f>I363+I369</f>
        <v>92007.8</v>
      </c>
      <c r="J361" s="112">
        <f t="shared" ref="J361" si="186">J363+J369</f>
        <v>64395.885999999999</v>
      </c>
      <c r="K361" s="112">
        <f>K363+K369</f>
        <v>86007.8</v>
      </c>
      <c r="L361" s="112">
        <f>K361/I361*100</f>
        <v>93.478813752747044</v>
      </c>
    </row>
    <row r="362" spans="1:12" s="122" customFormat="1">
      <c r="A362" s="110" t="s">
        <v>277</v>
      </c>
      <c r="B362" s="111">
        <v>603</v>
      </c>
      <c r="C362" s="111" t="s">
        <v>490</v>
      </c>
      <c r="D362" s="111" t="s">
        <v>483</v>
      </c>
      <c r="E362" s="111"/>
      <c r="F362" s="111"/>
      <c r="G362" s="112">
        <f t="shared" ref="G362:K367" si="187">G363</f>
        <v>90628.6</v>
      </c>
      <c r="H362" s="134">
        <f t="shared" si="171"/>
        <v>0</v>
      </c>
      <c r="I362" s="112">
        <f t="shared" si="187"/>
        <v>90628.6</v>
      </c>
      <c r="J362" s="112">
        <f t="shared" si="187"/>
        <v>63391.686000000002</v>
      </c>
      <c r="K362" s="112">
        <f t="shared" si="187"/>
        <v>84628.6</v>
      </c>
      <c r="L362" s="112">
        <f t="shared" ref="L362:L425" si="188">K362/I362*100</f>
        <v>93.37957333556956</v>
      </c>
    </row>
    <row r="363" spans="1:12" s="122" customFormat="1" ht="27">
      <c r="A363" s="123" t="s">
        <v>601</v>
      </c>
      <c r="B363" s="114" t="s">
        <v>409</v>
      </c>
      <c r="C363" s="114" t="s">
        <v>490</v>
      </c>
      <c r="D363" s="114" t="s">
        <v>483</v>
      </c>
      <c r="E363" s="114" t="s">
        <v>256</v>
      </c>
      <c r="F363" s="114"/>
      <c r="G363" s="115">
        <f t="shared" si="187"/>
        <v>90628.6</v>
      </c>
      <c r="H363" s="134">
        <f t="shared" si="171"/>
        <v>0</v>
      </c>
      <c r="I363" s="115">
        <f t="shared" si="187"/>
        <v>90628.6</v>
      </c>
      <c r="J363" s="115">
        <f t="shared" si="187"/>
        <v>63391.686000000002</v>
      </c>
      <c r="K363" s="115">
        <f t="shared" si="187"/>
        <v>84628.6</v>
      </c>
      <c r="L363" s="115">
        <f t="shared" si="188"/>
        <v>93.37957333556956</v>
      </c>
    </row>
    <row r="364" spans="1:12" s="122" customFormat="1" ht="24">
      <c r="A364" s="110" t="s">
        <v>361</v>
      </c>
      <c r="B364" s="111" t="s">
        <v>409</v>
      </c>
      <c r="C364" s="111" t="s">
        <v>490</v>
      </c>
      <c r="D364" s="111" t="s">
        <v>483</v>
      </c>
      <c r="E364" s="111" t="s">
        <v>257</v>
      </c>
      <c r="F364" s="111"/>
      <c r="G364" s="112">
        <f t="shared" si="187"/>
        <v>90628.6</v>
      </c>
      <c r="H364" s="134">
        <f t="shared" si="171"/>
        <v>0</v>
      </c>
      <c r="I364" s="112">
        <f t="shared" si="187"/>
        <v>90628.6</v>
      </c>
      <c r="J364" s="112">
        <f t="shared" si="187"/>
        <v>63391.686000000002</v>
      </c>
      <c r="K364" s="112">
        <f t="shared" si="187"/>
        <v>84628.6</v>
      </c>
      <c r="L364" s="112">
        <f t="shared" si="188"/>
        <v>93.37957333556956</v>
      </c>
    </row>
    <row r="365" spans="1:12" s="122" customFormat="1" ht="24">
      <c r="A365" s="110" t="s">
        <v>603</v>
      </c>
      <c r="B365" s="111" t="s">
        <v>409</v>
      </c>
      <c r="C365" s="111" t="s">
        <v>490</v>
      </c>
      <c r="D365" s="111" t="s">
        <v>483</v>
      </c>
      <c r="E365" s="111" t="s">
        <v>604</v>
      </c>
      <c r="F365" s="111"/>
      <c r="G365" s="112">
        <f t="shared" si="187"/>
        <v>90628.6</v>
      </c>
      <c r="H365" s="134">
        <f t="shared" si="171"/>
        <v>0</v>
      </c>
      <c r="I365" s="112">
        <f t="shared" si="187"/>
        <v>90628.6</v>
      </c>
      <c r="J365" s="112">
        <f t="shared" si="187"/>
        <v>63391.686000000002</v>
      </c>
      <c r="K365" s="112">
        <f t="shared" si="187"/>
        <v>84628.6</v>
      </c>
      <c r="L365" s="112">
        <f t="shared" si="188"/>
        <v>93.37957333556956</v>
      </c>
    </row>
    <row r="366" spans="1:12" s="122" customFormat="1" ht="24">
      <c r="A366" s="143" t="s">
        <v>309</v>
      </c>
      <c r="B366" s="139" t="s">
        <v>409</v>
      </c>
      <c r="C366" s="139" t="s">
        <v>490</v>
      </c>
      <c r="D366" s="139" t="s">
        <v>483</v>
      </c>
      <c r="E366" s="139" t="s">
        <v>604</v>
      </c>
      <c r="F366" s="139"/>
      <c r="G366" s="144">
        <f t="shared" si="187"/>
        <v>90628.6</v>
      </c>
      <c r="H366" s="134">
        <f t="shared" si="171"/>
        <v>0</v>
      </c>
      <c r="I366" s="144">
        <f t="shared" si="187"/>
        <v>90628.6</v>
      </c>
      <c r="J366" s="144">
        <f t="shared" si="187"/>
        <v>63391.686000000002</v>
      </c>
      <c r="K366" s="144">
        <f t="shared" si="187"/>
        <v>84628.6</v>
      </c>
      <c r="L366" s="144">
        <f t="shared" si="188"/>
        <v>93.37957333556956</v>
      </c>
    </row>
    <row r="367" spans="1:12" s="122" customFormat="1" ht="24">
      <c r="A367" s="119" t="s">
        <v>104</v>
      </c>
      <c r="B367" s="120" t="s">
        <v>409</v>
      </c>
      <c r="C367" s="120" t="s">
        <v>490</v>
      </c>
      <c r="D367" s="120" t="s">
        <v>483</v>
      </c>
      <c r="E367" s="120" t="s">
        <v>604</v>
      </c>
      <c r="F367" s="120" t="s">
        <v>408</v>
      </c>
      <c r="G367" s="121">
        <f t="shared" si="187"/>
        <v>90628.6</v>
      </c>
      <c r="H367" s="134">
        <f t="shared" si="171"/>
        <v>0</v>
      </c>
      <c r="I367" s="121">
        <f t="shared" si="187"/>
        <v>90628.6</v>
      </c>
      <c r="J367" s="121">
        <f t="shared" si="187"/>
        <v>63391.686000000002</v>
      </c>
      <c r="K367" s="121">
        <f t="shared" si="187"/>
        <v>84628.6</v>
      </c>
      <c r="L367" s="121">
        <f t="shared" si="188"/>
        <v>93.37957333556956</v>
      </c>
    </row>
    <row r="368" spans="1:12" s="122" customFormat="1">
      <c r="A368" s="119" t="s">
        <v>105</v>
      </c>
      <c r="B368" s="120" t="s">
        <v>409</v>
      </c>
      <c r="C368" s="120" t="s">
        <v>490</v>
      </c>
      <c r="D368" s="120" t="s">
        <v>483</v>
      </c>
      <c r="E368" s="120" t="s">
        <v>604</v>
      </c>
      <c r="F368" s="120" t="s">
        <v>425</v>
      </c>
      <c r="G368" s="121">
        <v>90628.6</v>
      </c>
      <c r="H368" s="134">
        <f t="shared" si="171"/>
        <v>0</v>
      </c>
      <c r="I368" s="121">
        <v>90628.6</v>
      </c>
      <c r="J368" s="121">
        <v>63391.686000000002</v>
      </c>
      <c r="K368" s="121">
        <f>90628.6-3000-3000</f>
        <v>84628.6</v>
      </c>
      <c r="L368" s="121">
        <f t="shared" si="188"/>
        <v>93.37957333556956</v>
      </c>
    </row>
    <row r="369" spans="1:12" s="122" customFormat="1">
      <c r="A369" s="110" t="s">
        <v>384</v>
      </c>
      <c r="B369" s="111" t="s">
        <v>409</v>
      </c>
      <c r="C369" s="111" t="s">
        <v>490</v>
      </c>
      <c r="D369" s="111" t="s">
        <v>490</v>
      </c>
      <c r="E369" s="111"/>
      <c r="F369" s="111"/>
      <c r="G369" s="112">
        <f>G370</f>
        <v>6350</v>
      </c>
      <c r="H369" s="134">
        <f t="shared" si="171"/>
        <v>-4970.8</v>
      </c>
      <c r="I369" s="112">
        <f>I370</f>
        <v>1379.2</v>
      </c>
      <c r="J369" s="112">
        <f t="shared" ref="J369:J370" si="189">J370</f>
        <v>1004.2</v>
      </c>
      <c r="K369" s="112">
        <f>K370</f>
        <v>1379.2</v>
      </c>
      <c r="L369" s="112">
        <f t="shared" si="188"/>
        <v>100</v>
      </c>
    </row>
    <row r="370" spans="1:12" s="122" customFormat="1" ht="27">
      <c r="A370" s="123" t="s">
        <v>601</v>
      </c>
      <c r="B370" s="114" t="s">
        <v>409</v>
      </c>
      <c r="C370" s="114" t="s">
        <v>490</v>
      </c>
      <c r="D370" s="114" t="s">
        <v>490</v>
      </c>
      <c r="E370" s="114" t="s">
        <v>256</v>
      </c>
      <c r="F370" s="114"/>
      <c r="G370" s="115">
        <f>G371</f>
        <v>6350</v>
      </c>
      <c r="H370" s="134">
        <f t="shared" si="171"/>
        <v>-4970.8</v>
      </c>
      <c r="I370" s="115">
        <f>I371</f>
        <v>1379.2</v>
      </c>
      <c r="J370" s="115">
        <f t="shared" si="189"/>
        <v>1004.2</v>
      </c>
      <c r="K370" s="115">
        <f>K371</f>
        <v>1379.2</v>
      </c>
      <c r="L370" s="115">
        <f t="shared" si="188"/>
        <v>100</v>
      </c>
    </row>
    <row r="371" spans="1:12" s="122" customFormat="1" ht="27">
      <c r="A371" s="123" t="s">
        <v>360</v>
      </c>
      <c r="B371" s="114">
        <v>603</v>
      </c>
      <c r="C371" s="114" t="s">
        <v>490</v>
      </c>
      <c r="D371" s="114" t="s">
        <v>490</v>
      </c>
      <c r="E371" s="114" t="s">
        <v>262</v>
      </c>
      <c r="F371" s="114"/>
      <c r="G371" s="115">
        <f>G372+G375+G378</f>
        <v>6350</v>
      </c>
      <c r="H371" s="134">
        <f t="shared" si="171"/>
        <v>-4970.8</v>
      </c>
      <c r="I371" s="115">
        <f>I372+I375+I378</f>
        <v>1379.2</v>
      </c>
      <c r="J371" s="115">
        <f t="shared" ref="J371" si="190">J372+J375+J378</f>
        <v>1004.2</v>
      </c>
      <c r="K371" s="115">
        <f>K372+K375+K378</f>
        <v>1379.2</v>
      </c>
      <c r="L371" s="115">
        <f t="shared" si="188"/>
        <v>100</v>
      </c>
    </row>
    <row r="372" spans="1:12" s="122" customFormat="1">
      <c r="A372" s="141" t="s">
        <v>263</v>
      </c>
      <c r="B372" s="111">
        <v>603</v>
      </c>
      <c r="C372" s="111" t="s">
        <v>490</v>
      </c>
      <c r="D372" s="111" t="s">
        <v>490</v>
      </c>
      <c r="E372" s="111" t="s">
        <v>605</v>
      </c>
      <c r="F372" s="111"/>
      <c r="G372" s="112">
        <f>G373</f>
        <v>5650</v>
      </c>
      <c r="H372" s="134">
        <f t="shared" si="171"/>
        <v>-4770.8</v>
      </c>
      <c r="I372" s="112">
        <f>I373</f>
        <v>879.2</v>
      </c>
      <c r="J372" s="112">
        <f t="shared" ref="J372:J373" si="191">J373</f>
        <v>879.2</v>
      </c>
      <c r="K372" s="112">
        <f>K373</f>
        <v>879.2</v>
      </c>
      <c r="L372" s="112">
        <f t="shared" si="188"/>
        <v>100</v>
      </c>
    </row>
    <row r="373" spans="1:12" s="122" customFormat="1" ht="24">
      <c r="A373" s="119" t="s">
        <v>596</v>
      </c>
      <c r="B373" s="120" t="s">
        <v>409</v>
      </c>
      <c r="C373" s="120" t="s">
        <v>490</v>
      </c>
      <c r="D373" s="120" t="s">
        <v>490</v>
      </c>
      <c r="E373" s="120" t="s">
        <v>605</v>
      </c>
      <c r="F373" s="120" t="s">
        <v>84</v>
      </c>
      <c r="G373" s="121">
        <f>G374</f>
        <v>5650</v>
      </c>
      <c r="H373" s="134">
        <f t="shared" si="171"/>
        <v>-4770.8</v>
      </c>
      <c r="I373" s="121">
        <f>I374</f>
        <v>879.2</v>
      </c>
      <c r="J373" s="121">
        <f t="shared" si="191"/>
        <v>879.2</v>
      </c>
      <c r="K373" s="121">
        <f>K374</f>
        <v>879.2</v>
      </c>
      <c r="L373" s="121">
        <f t="shared" si="188"/>
        <v>100</v>
      </c>
    </row>
    <row r="374" spans="1:12" s="122" customFormat="1" ht="24">
      <c r="A374" s="119" t="s">
        <v>85</v>
      </c>
      <c r="B374" s="120" t="s">
        <v>409</v>
      </c>
      <c r="C374" s="120" t="s">
        <v>490</v>
      </c>
      <c r="D374" s="120" t="s">
        <v>490</v>
      </c>
      <c r="E374" s="120" t="s">
        <v>605</v>
      </c>
      <c r="F374" s="120" t="s">
        <v>86</v>
      </c>
      <c r="G374" s="121">
        <v>5650</v>
      </c>
      <c r="H374" s="134">
        <f t="shared" si="171"/>
        <v>-4770.8</v>
      </c>
      <c r="I374" s="121">
        <f>5650-4620-100-50.8</f>
        <v>879.2</v>
      </c>
      <c r="J374" s="121">
        <v>879.2</v>
      </c>
      <c r="K374" s="121">
        <f>5650-4620-100-50.8</f>
        <v>879.2</v>
      </c>
      <c r="L374" s="121">
        <f t="shared" si="188"/>
        <v>100</v>
      </c>
    </row>
    <row r="375" spans="1:12" s="122" customFormat="1">
      <c r="A375" s="141" t="s">
        <v>264</v>
      </c>
      <c r="B375" s="111">
        <v>603</v>
      </c>
      <c r="C375" s="111" t="s">
        <v>490</v>
      </c>
      <c r="D375" s="111" t="s">
        <v>490</v>
      </c>
      <c r="E375" s="111" t="s">
        <v>606</v>
      </c>
      <c r="F375" s="111"/>
      <c r="G375" s="112">
        <f>G376</f>
        <v>200</v>
      </c>
      <c r="H375" s="134">
        <f t="shared" si="171"/>
        <v>-200</v>
      </c>
      <c r="I375" s="134">
        <f>I376</f>
        <v>0</v>
      </c>
      <c r="J375" s="134">
        <f t="shared" ref="J375:J376" si="192">J376</f>
        <v>0</v>
      </c>
      <c r="K375" s="134">
        <f>K376</f>
        <v>0</v>
      </c>
      <c r="L375" s="112"/>
    </row>
    <row r="376" spans="1:12" s="122" customFormat="1" ht="24">
      <c r="A376" s="119" t="s">
        <v>596</v>
      </c>
      <c r="B376" s="120" t="s">
        <v>409</v>
      </c>
      <c r="C376" s="120" t="s">
        <v>490</v>
      </c>
      <c r="D376" s="120" t="s">
        <v>490</v>
      </c>
      <c r="E376" s="120" t="s">
        <v>606</v>
      </c>
      <c r="F376" s="120" t="s">
        <v>84</v>
      </c>
      <c r="G376" s="121">
        <f>G377</f>
        <v>200</v>
      </c>
      <c r="H376" s="134">
        <f t="shared" si="171"/>
        <v>-200</v>
      </c>
      <c r="I376" s="135">
        <f>I377</f>
        <v>0</v>
      </c>
      <c r="J376" s="135">
        <f t="shared" si="192"/>
        <v>0</v>
      </c>
      <c r="K376" s="135">
        <f>K377</f>
        <v>0</v>
      </c>
      <c r="L376" s="112"/>
    </row>
    <row r="377" spans="1:12" s="122" customFormat="1" ht="24">
      <c r="A377" s="119" t="s">
        <v>85</v>
      </c>
      <c r="B377" s="120" t="s">
        <v>409</v>
      </c>
      <c r="C377" s="120" t="s">
        <v>490</v>
      </c>
      <c r="D377" s="120" t="s">
        <v>490</v>
      </c>
      <c r="E377" s="120" t="s">
        <v>606</v>
      </c>
      <c r="F377" s="120" t="s">
        <v>86</v>
      </c>
      <c r="G377" s="121">
        <v>200</v>
      </c>
      <c r="H377" s="134">
        <f t="shared" si="171"/>
        <v>-200</v>
      </c>
      <c r="I377" s="135">
        <f>200-200</f>
        <v>0</v>
      </c>
      <c r="J377" s="135">
        <f t="shared" ref="J377" si="193">200-200</f>
        <v>0</v>
      </c>
      <c r="K377" s="135">
        <f>200-200</f>
        <v>0</v>
      </c>
      <c r="L377" s="112"/>
    </row>
    <row r="378" spans="1:12" s="122" customFormat="1" ht="24">
      <c r="A378" s="110" t="s">
        <v>65</v>
      </c>
      <c r="B378" s="111" t="s">
        <v>409</v>
      </c>
      <c r="C378" s="111" t="s">
        <v>490</v>
      </c>
      <c r="D378" s="111" t="s">
        <v>490</v>
      </c>
      <c r="E378" s="111" t="s">
        <v>607</v>
      </c>
      <c r="F378" s="111"/>
      <c r="G378" s="112">
        <f>G379</f>
        <v>500</v>
      </c>
      <c r="H378" s="134">
        <f t="shared" si="171"/>
        <v>0</v>
      </c>
      <c r="I378" s="112">
        <f>I379</f>
        <v>500</v>
      </c>
      <c r="J378" s="112">
        <f t="shared" ref="J378:J379" si="194">J379</f>
        <v>125</v>
      </c>
      <c r="K378" s="112">
        <f>K379</f>
        <v>500</v>
      </c>
      <c r="L378" s="112">
        <f t="shared" si="188"/>
        <v>100</v>
      </c>
    </row>
    <row r="379" spans="1:12" s="122" customFormat="1" ht="24.75" customHeight="1">
      <c r="A379" s="119" t="s">
        <v>608</v>
      </c>
      <c r="B379" s="120" t="s">
        <v>409</v>
      </c>
      <c r="C379" s="120" t="s">
        <v>490</v>
      </c>
      <c r="D379" s="120" t="s">
        <v>490</v>
      </c>
      <c r="E379" s="120" t="s">
        <v>607</v>
      </c>
      <c r="F379" s="120" t="s">
        <v>408</v>
      </c>
      <c r="G379" s="121">
        <f>G380</f>
        <v>500</v>
      </c>
      <c r="H379" s="134">
        <f t="shared" si="171"/>
        <v>0</v>
      </c>
      <c r="I379" s="121">
        <f>I380</f>
        <v>500</v>
      </c>
      <c r="J379" s="121">
        <f t="shared" si="194"/>
        <v>125</v>
      </c>
      <c r="K379" s="121">
        <f>K380</f>
        <v>500</v>
      </c>
      <c r="L379" s="121">
        <f t="shared" si="188"/>
        <v>100</v>
      </c>
    </row>
    <row r="380" spans="1:12" s="122" customFormat="1" ht="24">
      <c r="A380" s="202" t="s">
        <v>609</v>
      </c>
      <c r="B380" s="120" t="s">
        <v>409</v>
      </c>
      <c r="C380" s="120" t="s">
        <v>490</v>
      </c>
      <c r="D380" s="120" t="s">
        <v>490</v>
      </c>
      <c r="E380" s="120" t="s">
        <v>607</v>
      </c>
      <c r="F380" s="120" t="s">
        <v>463</v>
      </c>
      <c r="G380" s="121">
        <v>500</v>
      </c>
      <c r="H380" s="134">
        <f t="shared" si="171"/>
        <v>0</v>
      </c>
      <c r="I380" s="121">
        <v>500</v>
      </c>
      <c r="J380" s="121">
        <v>125</v>
      </c>
      <c r="K380" s="121">
        <v>500</v>
      </c>
      <c r="L380" s="121">
        <f t="shared" si="188"/>
        <v>100</v>
      </c>
    </row>
    <row r="381" spans="1:12" s="122" customFormat="1">
      <c r="A381" s="110" t="s">
        <v>396</v>
      </c>
      <c r="B381" s="111">
        <v>603</v>
      </c>
      <c r="C381" s="111" t="s">
        <v>488</v>
      </c>
      <c r="D381" s="111" t="s">
        <v>77</v>
      </c>
      <c r="E381" s="111"/>
      <c r="F381" s="111"/>
      <c r="G381" s="112">
        <f>G382+G402</f>
        <v>115882.2</v>
      </c>
      <c r="H381" s="134">
        <f t="shared" si="171"/>
        <v>5040.6924699999945</v>
      </c>
      <c r="I381" s="112">
        <f>I382+I402</f>
        <v>120922.89246999999</v>
      </c>
      <c r="J381" s="112">
        <f t="shared" ref="J381" si="195">J382+J402</f>
        <v>70659.837419999996</v>
      </c>
      <c r="K381" s="112">
        <f>K382+K402</f>
        <v>112922.89246999999</v>
      </c>
      <c r="L381" s="112">
        <f t="shared" si="188"/>
        <v>93.384213827018129</v>
      </c>
    </row>
    <row r="382" spans="1:12" s="122" customFormat="1">
      <c r="A382" s="110" t="s">
        <v>386</v>
      </c>
      <c r="B382" s="111">
        <v>603</v>
      </c>
      <c r="C382" s="111" t="s">
        <v>488</v>
      </c>
      <c r="D382" s="111" t="s">
        <v>76</v>
      </c>
      <c r="E382" s="111"/>
      <c r="F382" s="111"/>
      <c r="G382" s="112">
        <f>G383</f>
        <v>90457.2</v>
      </c>
      <c r="H382" s="134">
        <f t="shared" si="171"/>
        <v>8310.6824699999997</v>
      </c>
      <c r="I382" s="112">
        <f>I383</f>
        <v>98767.882469999997</v>
      </c>
      <c r="J382" s="112">
        <f t="shared" ref="J382:J383" si="196">J383</f>
        <v>63164.46</v>
      </c>
      <c r="K382" s="112">
        <f>K383</f>
        <v>95767.882469999997</v>
      </c>
      <c r="L382" s="112">
        <f t="shared" si="188"/>
        <v>96.962575358531936</v>
      </c>
    </row>
    <row r="383" spans="1:12" s="122" customFormat="1" ht="27">
      <c r="A383" s="123" t="s">
        <v>601</v>
      </c>
      <c r="B383" s="114" t="s">
        <v>409</v>
      </c>
      <c r="C383" s="114" t="s">
        <v>488</v>
      </c>
      <c r="D383" s="114" t="s">
        <v>76</v>
      </c>
      <c r="E383" s="114" t="s">
        <v>256</v>
      </c>
      <c r="F383" s="114"/>
      <c r="G383" s="115">
        <f>G384</f>
        <v>90457.2</v>
      </c>
      <c r="H383" s="134">
        <f t="shared" si="171"/>
        <v>8310.6824699999997</v>
      </c>
      <c r="I383" s="115">
        <f>I384</f>
        <v>98767.882469999997</v>
      </c>
      <c r="J383" s="115">
        <f t="shared" si="196"/>
        <v>63164.46</v>
      </c>
      <c r="K383" s="115">
        <f>K384</f>
        <v>95767.882469999997</v>
      </c>
      <c r="L383" s="115">
        <f t="shared" si="188"/>
        <v>96.962575358531936</v>
      </c>
    </row>
    <row r="384" spans="1:12" s="122" customFormat="1" ht="24">
      <c r="A384" s="110" t="s">
        <v>361</v>
      </c>
      <c r="B384" s="111" t="s">
        <v>409</v>
      </c>
      <c r="C384" s="111" t="s">
        <v>488</v>
      </c>
      <c r="D384" s="111" t="s">
        <v>76</v>
      </c>
      <c r="E384" s="111" t="s">
        <v>257</v>
      </c>
      <c r="F384" s="111"/>
      <c r="G384" s="112">
        <f>G385+G392</f>
        <v>90457.2</v>
      </c>
      <c r="H384" s="134">
        <f t="shared" si="171"/>
        <v>8310.6824699999997</v>
      </c>
      <c r="I384" s="112">
        <f>I385+I392+I396+I399</f>
        <v>98767.882469999997</v>
      </c>
      <c r="J384" s="112">
        <f t="shared" ref="J384" si="197">J385+J392+J396+J399</f>
        <v>63164.46</v>
      </c>
      <c r="K384" s="112">
        <f>K385+K392+K396+K399</f>
        <v>95767.882469999997</v>
      </c>
      <c r="L384" s="112">
        <f t="shared" si="188"/>
        <v>96.962575358531936</v>
      </c>
    </row>
    <row r="385" spans="1:12" s="122" customFormat="1" ht="24">
      <c r="A385" s="110" t="s">
        <v>294</v>
      </c>
      <c r="B385" s="111" t="s">
        <v>409</v>
      </c>
      <c r="C385" s="111" t="s">
        <v>488</v>
      </c>
      <c r="D385" s="111" t="s">
        <v>76</v>
      </c>
      <c r="E385" s="111" t="s">
        <v>265</v>
      </c>
      <c r="F385" s="111"/>
      <c r="G385" s="112">
        <f>G386+G389</f>
        <v>50561</v>
      </c>
      <c r="H385" s="134">
        <f t="shared" si="171"/>
        <v>8240.7900000000009</v>
      </c>
      <c r="I385" s="112">
        <f>I386+I389</f>
        <v>58801.79</v>
      </c>
      <c r="J385" s="112">
        <f t="shared" ref="J385" si="198">J386+J389</f>
        <v>40615.716</v>
      </c>
      <c r="K385" s="112">
        <f>K386+K389</f>
        <v>58801.79</v>
      </c>
      <c r="L385" s="112">
        <f t="shared" si="188"/>
        <v>100</v>
      </c>
    </row>
    <row r="386" spans="1:12" s="122" customFormat="1" ht="24">
      <c r="A386" s="143" t="s">
        <v>431</v>
      </c>
      <c r="B386" s="139">
        <v>603</v>
      </c>
      <c r="C386" s="139" t="s">
        <v>488</v>
      </c>
      <c r="D386" s="139" t="s">
        <v>76</v>
      </c>
      <c r="E386" s="139" t="s">
        <v>610</v>
      </c>
      <c r="F386" s="139"/>
      <c r="G386" s="144">
        <f>G387</f>
        <v>12192</v>
      </c>
      <c r="H386" s="134">
        <f t="shared" si="171"/>
        <v>8240.7900000000009</v>
      </c>
      <c r="I386" s="144">
        <f>I387</f>
        <v>20432.79</v>
      </c>
      <c r="J386" s="144">
        <f t="shared" ref="J386:J387" si="199">J387</f>
        <v>9022.375</v>
      </c>
      <c r="K386" s="144">
        <f>K387</f>
        <v>20432.79</v>
      </c>
      <c r="L386" s="144">
        <f t="shared" si="188"/>
        <v>100</v>
      </c>
    </row>
    <row r="387" spans="1:12" s="122" customFormat="1" ht="24">
      <c r="A387" s="119" t="s">
        <v>104</v>
      </c>
      <c r="B387" s="120">
        <v>603</v>
      </c>
      <c r="C387" s="120" t="s">
        <v>488</v>
      </c>
      <c r="D387" s="120" t="s">
        <v>76</v>
      </c>
      <c r="E387" s="120" t="s">
        <v>610</v>
      </c>
      <c r="F387" s="120" t="s">
        <v>408</v>
      </c>
      <c r="G387" s="121">
        <f>G388</f>
        <v>12192</v>
      </c>
      <c r="H387" s="134">
        <f t="shared" si="171"/>
        <v>8240.7900000000009</v>
      </c>
      <c r="I387" s="121">
        <f>I388</f>
        <v>20432.79</v>
      </c>
      <c r="J387" s="121">
        <f t="shared" si="199"/>
        <v>9022.375</v>
      </c>
      <c r="K387" s="121">
        <f>K388</f>
        <v>20432.79</v>
      </c>
      <c r="L387" s="121">
        <f t="shared" si="188"/>
        <v>100</v>
      </c>
    </row>
    <row r="388" spans="1:12" s="122" customFormat="1">
      <c r="A388" s="119" t="s">
        <v>105</v>
      </c>
      <c r="B388" s="120">
        <v>603</v>
      </c>
      <c r="C388" s="120" t="s">
        <v>488</v>
      </c>
      <c r="D388" s="120" t="s">
        <v>76</v>
      </c>
      <c r="E388" s="120" t="s">
        <v>610</v>
      </c>
      <c r="F388" s="120" t="s">
        <v>425</v>
      </c>
      <c r="G388" s="121">
        <f>1526.5+750+1122+8793.5</f>
        <v>12192</v>
      </c>
      <c r="H388" s="134">
        <f t="shared" si="171"/>
        <v>8240.7900000000009</v>
      </c>
      <c r="I388" s="121">
        <f>1526.5+750+1122+8793.5+2740.79+5500</f>
        <v>20432.79</v>
      </c>
      <c r="J388" s="121">
        <v>9022.375</v>
      </c>
      <c r="K388" s="121">
        <f>1526.5+750+1122+8793.5+2740.79+5500</f>
        <v>20432.79</v>
      </c>
      <c r="L388" s="121">
        <f t="shared" si="188"/>
        <v>100</v>
      </c>
    </row>
    <row r="389" spans="1:12" s="122" customFormat="1" ht="24">
      <c r="A389" s="124" t="s">
        <v>28</v>
      </c>
      <c r="B389" s="125" t="s">
        <v>409</v>
      </c>
      <c r="C389" s="125" t="s">
        <v>488</v>
      </c>
      <c r="D389" s="125" t="s">
        <v>76</v>
      </c>
      <c r="E389" s="125" t="s">
        <v>266</v>
      </c>
      <c r="F389" s="125"/>
      <c r="G389" s="136">
        <f>G390</f>
        <v>38369</v>
      </c>
      <c r="H389" s="134">
        <f t="shared" si="171"/>
        <v>0</v>
      </c>
      <c r="I389" s="136">
        <f>I390</f>
        <v>38369</v>
      </c>
      <c r="J389" s="136">
        <f t="shared" ref="J389:J390" si="200">J390</f>
        <v>31593.341</v>
      </c>
      <c r="K389" s="136">
        <f>K390</f>
        <v>38369</v>
      </c>
      <c r="L389" s="126">
        <f t="shared" si="188"/>
        <v>100</v>
      </c>
    </row>
    <row r="390" spans="1:12" s="122" customFormat="1" ht="24">
      <c r="A390" s="119" t="s">
        <v>104</v>
      </c>
      <c r="B390" s="120">
        <v>603</v>
      </c>
      <c r="C390" s="120" t="s">
        <v>488</v>
      </c>
      <c r="D390" s="120" t="s">
        <v>76</v>
      </c>
      <c r="E390" s="120" t="s">
        <v>266</v>
      </c>
      <c r="F390" s="120" t="s">
        <v>408</v>
      </c>
      <c r="G390" s="135">
        <f>G391</f>
        <v>38369</v>
      </c>
      <c r="H390" s="134">
        <f t="shared" si="171"/>
        <v>0</v>
      </c>
      <c r="I390" s="135">
        <f>I391</f>
        <v>38369</v>
      </c>
      <c r="J390" s="135">
        <f t="shared" si="200"/>
        <v>31593.341</v>
      </c>
      <c r="K390" s="135">
        <f>K391</f>
        <v>38369</v>
      </c>
      <c r="L390" s="121">
        <f t="shared" si="188"/>
        <v>100</v>
      </c>
    </row>
    <row r="391" spans="1:12" s="122" customFormat="1">
      <c r="A391" s="119" t="s">
        <v>105</v>
      </c>
      <c r="B391" s="120">
        <v>603</v>
      </c>
      <c r="C391" s="120" t="s">
        <v>488</v>
      </c>
      <c r="D391" s="120" t="s">
        <v>76</v>
      </c>
      <c r="E391" s="120" t="s">
        <v>266</v>
      </c>
      <c r="F391" s="120" t="s">
        <v>425</v>
      </c>
      <c r="G391" s="135">
        <v>38369</v>
      </c>
      <c r="H391" s="134">
        <f t="shared" si="171"/>
        <v>0</v>
      </c>
      <c r="I391" s="135">
        <v>38369</v>
      </c>
      <c r="J391" s="135">
        <v>31593.341</v>
      </c>
      <c r="K391" s="135">
        <v>38369</v>
      </c>
      <c r="L391" s="121">
        <f t="shared" si="188"/>
        <v>100</v>
      </c>
    </row>
    <row r="392" spans="1:12" s="122" customFormat="1" ht="24">
      <c r="A392" s="110" t="s">
        <v>611</v>
      </c>
      <c r="B392" s="111" t="s">
        <v>409</v>
      </c>
      <c r="C392" s="111" t="s">
        <v>488</v>
      </c>
      <c r="D392" s="111" t="s">
        <v>76</v>
      </c>
      <c r="E392" s="111" t="s">
        <v>267</v>
      </c>
      <c r="F392" s="111"/>
      <c r="G392" s="112">
        <f>G393</f>
        <v>39896.199999999997</v>
      </c>
      <c r="H392" s="134">
        <f t="shared" si="171"/>
        <v>-1</v>
      </c>
      <c r="I392" s="112">
        <f>I393</f>
        <v>39895.199999999997</v>
      </c>
      <c r="J392" s="112">
        <f t="shared" ref="J392:J394" si="201">J393</f>
        <v>22477.844000000001</v>
      </c>
      <c r="K392" s="112">
        <f>K393</f>
        <v>36895.199999999997</v>
      </c>
      <c r="L392" s="112">
        <f t="shared" si="188"/>
        <v>92.480298381760207</v>
      </c>
    </row>
    <row r="393" spans="1:12" s="122" customFormat="1" ht="24">
      <c r="A393" s="143" t="s">
        <v>511</v>
      </c>
      <c r="B393" s="139" t="s">
        <v>409</v>
      </c>
      <c r="C393" s="139" t="s">
        <v>488</v>
      </c>
      <c r="D393" s="139" t="s">
        <v>76</v>
      </c>
      <c r="E393" s="139" t="s">
        <v>612</v>
      </c>
      <c r="F393" s="125"/>
      <c r="G393" s="144">
        <f>G394</f>
        <v>39896.199999999997</v>
      </c>
      <c r="H393" s="134">
        <f t="shared" si="171"/>
        <v>-1</v>
      </c>
      <c r="I393" s="144">
        <f>I394</f>
        <v>39895.199999999997</v>
      </c>
      <c r="J393" s="144">
        <f t="shared" si="201"/>
        <v>22477.844000000001</v>
      </c>
      <c r="K393" s="144">
        <f>K394</f>
        <v>36895.199999999997</v>
      </c>
      <c r="L393" s="144">
        <f t="shared" si="188"/>
        <v>92.480298381760207</v>
      </c>
    </row>
    <row r="394" spans="1:12" s="122" customFormat="1" ht="24">
      <c r="A394" s="119" t="s">
        <v>104</v>
      </c>
      <c r="B394" s="120" t="s">
        <v>409</v>
      </c>
      <c r="C394" s="120" t="s">
        <v>488</v>
      </c>
      <c r="D394" s="120" t="s">
        <v>76</v>
      </c>
      <c r="E394" s="120" t="s">
        <v>612</v>
      </c>
      <c r="F394" s="120" t="s">
        <v>408</v>
      </c>
      <c r="G394" s="121">
        <f>G395</f>
        <v>39896.199999999997</v>
      </c>
      <c r="H394" s="134">
        <f t="shared" si="171"/>
        <v>-1</v>
      </c>
      <c r="I394" s="121">
        <f>I395</f>
        <v>39895.199999999997</v>
      </c>
      <c r="J394" s="121">
        <f t="shared" si="201"/>
        <v>22477.844000000001</v>
      </c>
      <c r="K394" s="121">
        <f>K395</f>
        <v>36895.199999999997</v>
      </c>
      <c r="L394" s="121">
        <f t="shared" si="188"/>
        <v>92.480298381760207</v>
      </c>
    </row>
    <row r="395" spans="1:12" s="122" customFormat="1">
      <c r="A395" s="119" t="s">
        <v>105</v>
      </c>
      <c r="B395" s="120" t="s">
        <v>409</v>
      </c>
      <c r="C395" s="120" t="s">
        <v>488</v>
      </c>
      <c r="D395" s="120" t="s">
        <v>76</v>
      </c>
      <c r="E395" s="120" t="s">
        <v>612</v>
      </c>
      <c r="F395" s="120" t="s">
        <v>425</v>
      </c>
      <c r="G395" s="121">
        <v>39896.199999999997</v>
      </c>
      <c r="H395" s="134">
        <f t="shared" si="171"/>
        <v>-1</v>
      </c>
      <c r="I395" s="121">
        <f>39896.2-1</f>
        <v>39895.199999999997</v>
      </c>
      <c r="J395" s="121">
        <v>22477.844000000001</v>
      </c>
      <c r="K395" s="121">
        <f>39896.2-1-3000</f>
        <v>36895.199999999997</v>
      </c>
      <c r="L395" s="121">
        <f t="shared" si="188"/>
        <v>92.480298381760207</v>
      </c>
    </row>
    <row r="396" spans="1:12" s="122" customFormat="1">
      <c r="A396" s="110" t="s">
        <v>730</v>
      </c>
      <c r="B396" s="111" t="s">
        <v>731</v>
      </c>
      <c r="C396" s="111" t="s">
        <v>488</v>
      </c>
      <c r="D396" s="111" t="s">
        <v>76</v>
      </c>
      <c r="E396" s="111" t="s">
        <v>732</v>
      </c>
      <c r="F396" s="111"/>
      <c r="G396" s="121"/>
      <c r="H396" s="134"/>
      <c r="I396" s="112">
        <f>I397</f>
        <v>69.892470000000003</v>
      </c>
      <c r="J396" s="112">
        <f t="shared" ref="J396:J397" si="202">J397</f>
        <v>69.900000000000006</v>
      </c>
      <c r="K396" s="112">
        <f>K397</f>
        <v>69.892470000000003</v>
      </c>
      <c r="L396" s="112">
        <f t="shared" si="188"/>
        <v>100</v>
      </c>
    </row>
    <row r="397" spans="1:12" s="122" customFormat="1" ht="24">
      <c r="A397" s="119" t="s">
        <v>104</v>
      </c>
      <c r="B397" s="120" t="s">
        <v>731</v>
      </c>
      <c r="C397" s="120" t="s">
        <v>488</v>
      </c>
      <c r="D397" s="120" t="s">
        <v>76</v>
      </c>
      <c r="E397" s="120" t="s">
        <v>732</v>
      </c>
      <c r="F397" s="120" t="s">
        <v>408</v>
      </c>
      <c r="G397" s="121"/>
      <c r="H397" s="134"/>
      <c r="I397" s="121">
        <f>I398</f>
        <v>69.892470000000003</v>
      </c>
      <c r="J397" s="121">
        <f t="shared" si="202"/>
        <v>69.900000000000006</v>
      </c>
      <c r="K397" s="121">
        <f>K398</f>
        <v>69.892470000000003</v>
      </c>
      <c r="L397" s="121">
        <f t="shared" si="188"/>
        <v>100</v>
      </c>
    </row>
    <row r="398" spans="1:12" s="122" customFormat="1">
      <c r="A398" s="119" t="s">
        <v>105</v>
      </c>
      <c r="B398" s="120" t="s">
        <v>731</v>
      </c>
      <c r="C398" s="120" t="s">
        <v>488</v>
      </c>
      <c r="D398" s="120" t="s">
        <v>76</v>
      </c>
      <c r="E398" s="120" t="s">
        <v>732</v>
      </c>
      <c r="F398" s="120" t="s">
        <v>425</v>
      </c>
      <c r="G398" s="121"/>
      <c r="H398" s="134"/>
      <c r="I398" s="121">
        <v>69.892470000000003</v>
      </c>
      <c r="J398" s="121">
        <v>69.900000000000006</v>
      </c>
      <c r="K398" s="121">
        <v>69.892470000000003</v>
      </c>
      <c r="L398" s="121">
        <f t="shared" si="188"/>
        <v>100</v>
      </c>
    </row>
    <row r="399" spans="1:12" s="122" customFormat="1">
      <c r="A399" s="110" t="s">
        <v>733</v>
      </c>
      <c r="B399" s="111" t="s">
        <v>731</v>
      </c>
      <c r="C399" s="111" t="s">
        <v>488</v>
      </c>
      <c r="D399" s="111" t="s">
        <v>76</v>
      </c>
      <c r="E399" s="111" t="s">
        <v>734</v>
      </c>
      <c r="F399" s="111"/>
      <c r="G399" s="121"/>
      <c r="H399" s="134"/>
      <c r="I399" s="112">
        <f>I400</f>
        <v>1</v>
      </c>
      <c r="J399" s="112">
        <f t="shared" ref="J399:J400" si="203">J400</f>
        <v>1</v>
      </c>
      <c r="K399" s="112">
        <f>K400</f>
        <v>1</v>
      </c>
      <c r="L399" s="112">
        <f t="shared" si="188"/>
        <v>100</v>
      </c>
    </row>
    <row r="400" spans="1:12" s="122" customFormat="1" ht="24">
      <c r="A400" s="119" t="s">
        <v>104</v>
      </c>
      <c r="B400" s="120" t="s">
        <v>731</v>
      </c>
      <c r="C400" s="120" t="s">
        <v>488</v>
      </c>
      <c r="D400" s="120" t="s">
        <v>76</v>
      </c>
      <c r="E400" s="120" t="s">
        <v>734</v>
      </c>
      <c r="F400" s="120" t="s">
        <v>408</v>
      </c>
      <c r="G400" s="121"/>
      <c r="H400" s="134"/>
      <c r="I400" s="121">
        <f>I401</f>
        <v>1</v>
      </c>
      <c r="J400" s="121">
        <f t="shared" si="203"/>
        <v>1</v>
      </c>
      <c r="K400" s="121">
        <f>K401</f>
        <v>1</v>
      </c>
      <c r="L400" s="121">
        <f t="shared" si="188"/>
        <v>100</v>
      </c>
    </row>
    <row r="401" spans="1:12" s="122" customFormat="1">
      <c r="A401" s="119" t="s">
        <v>105</v>
      </c>
      <c r="B401" s="120" t="s">
        <v>731</v>
      </c>
      <c r="C401" s="120" t="s">
        <v>488</v>
      </c>
      <c r="D401" s="120" t="s">
        <v>76</v>
      </c>
      <c r="E401" s="120" t="s">
        <v>734</v>
      </c>
      <c r="F401" s="120" t="s">
        <v>425</v>
      </c>
      <c r="G401" s="121"/>
      <c r="H401" s="134"/>
      <c r="I401" s="121">
        <v>1</v>
      </c>
      <c r="J401" s="121">
        <v>1</v>
      </c>
      <c r="K401" s="121">
        <v>1</v>
      </c>
      <c r="L401" s="121">
        <f t="shared" si="188"/>
        <v>100</v>
      </c>
    </row>
    <row r="402" spans="1:12" s="122" customFormat="1">
      <c r="A402" s="110" t="s">
        <v>468</v>
      </c>
      <c r="B402" s="111">
        <v>603</v>
      </c>
      <c r="C402" s="111" t="s">
        <v>488</v>
      </c>
      <c r="D402" s="111" t="s">
        <v>78</v>
      </c>
      <c r="E402" s="111"/>
      <c r="F402" s="111"/>
      <c r="G402" s="112">
        <f>G403</f>
        <v>25425</v>
      </c>
      <c r="H402" s="134">
        <f t="shared" si="171"/>
        <v>-3269.989999999998</v>
      </c>
      <c r="I402" s="112">
        <f>I403</f>
        <v>22155.010000000002</v>
      </c>
      <c r="J402" s="112">
        <f t="shared" ref="J402" si="204">J403</f>
        <v>7495.3774199999998</v>
      </c>
      <c r="K402" s="112">
        <f>K403</f>
        <v>17155.010000000002</v>
      </c>
      <c r="L402" s="112">
        <f t="shared" si="188"/>
        <v>77.431741172764092</v>
      </c>
    </row>
    <row r="403" spans="1:12" s="122" customFormat="1" ht="27">
      <c r="A403" s="123" t="s">
        <v>601</v>
      </c>
      <c r="B403" s="114">
        <v>603</v>
      </c>
      <c r="C403" s="114" t="s">
        <v>488</v>
      </c>
      <c r="D403" s="114" t="s">
        <v>78</v>
      </c>
      <c r="E403" s="114" t="s">
        <v>256</v>
      </c>
      <c r="F403" s="114"/>
      <c r="G403" s="115">
        <f>G404+G423</f>
        <v>25425</v>
      </c>
      <c r="H403" s="134">
        <f t="shared" si="171"/>
        <v>-3269.989999999998</v>
      </c>
      <c r="I403" s="115">
        <f>I404+I423</f>
        <v>22155.010000000002</v>
      </c>
      <c r="J403" s="115">
        <f t="shared" ref="J403" si="205">J404+J423</f>
        <v>7495.3774199999998</v>
      </c>
      <c r="K403" s="115">
        <f>K404+K423</f>
        <v>17155.010000000002</v>
      </c>
      <c r="L403" s="115">
        <f t="shared" si="188"/>
        <v>77.431741172764092</v>
      </c>
    </row>
    <row r="404" spans="1:12" s="122" customFormat="1" ht="13.5">
      <c r="A404" s="123" t="s">
        <v>75</v>
      </c>
      <c r="B404" s="114" t="s">
        <v>409</v>
      </c>
      <c r="C404" s="114" t="s">
        <v>488</v>
      </c>
      <c r="D404" s="114" t="s">
        <v>78</v>
      </c>
      <c r="E404" s="114" t="s">
        <v>271</v>
      </c>
      <c r="F404" s="114"/>
      <c r="G404" s="115">
        <f>G405+G408+G411+G414+G417+G420</f>
        <v>21400</v>
      </c>
      <c r="H404" s="134">
        <f t="shared" si="171"/>
        <v>-3269.989999999998</v>
      </c>
      <c r="I404" s="115">
        <f>I405+I408+I411+I414+I417+I420</f>
        <v>18130.010000000002</v>
      </c>
      <c r="J404" s="115">
        <f t="shared" ref="J404" si="206">J405+J408+J411+J414+J417+J420</f>
        <v>4514.3194199999998</v>
      </c>
      <c r="K404" s="115">
        <f>K405+K408+K411+K414+K417+K420</f>
        <v>13130.010000000002</v>
      </c>
      <c r="L404" s="115">
        <f t="shared" si="188"/>
        <v>72.421416204403641</v>
      </c>
    </row>
    <row r="405" spans="1:12" s="122" customFormat="1">
      <c r="A405" s="141" t="s">
        <v>109</v>
      </c>
      <c r="B405" s="111" t="s">
        <v>409</v>
      </c>
      <c r="C405" s="111" t="s">
        <v>488</v>
      </c>
      <c r="D405" s="111" t="s">
        <v>78</v>
      </c>
      <c r="E405" s="111" t="s">
        <v>602</v>
      </c>
      <c r="F405" s="125"/>
      <c r="G405" s="112">
        <f>G406</f>
        <v>20100</v>
      </c>
      <c r="H405" s="134">
        <f t="shared" si="171"/>
        <v>-2395.989999999998</v>
      </c>
      <c r="I405" s="112">
        <f>I406</f>
        <v>17704.010000000002</v>
      </c>
      <c r="J405" s="112">
        <f t="shared" ref="J405:J406" si="207">J406</f>
        <v>4388.3194199999998</v>
      </c>
      <c r="K405" s="112">
        <f>K406</f>
        <v>12704.010000000002</v>
      </c>
      <c r="L405" s="112">
        <f t="shared" si="188"/>
        <v>71.757810801055811</v>
      </c>
    </row>
    <row r="406" spans="1:12" s="184" customFormat="1" ht="24">
      <c r="A406" s="119" t="s">
        <v>596</v>
      </c>
      <c r="B406" s="120" t="s">
        <v>409</v>
      </c>
      <c r="C406" s="120" t="s">
        <v>488</v>
      </c>
      <c r="D406" s="120" t="s">
        <v>78</v>
      </c>
      <c r="E406" s="120" t="s">
        <v>602</v>
      </c>
      <c r="F406" s="120" t="s">
        <v>84</v>
      </c>
      <c r="G406" s="121">
        <f>G407</f>
        <v>20100</v>
      </c>
      <c r="H406" s="134">
        <f t="shared" si="171"/>
        <v>-2395.989999999998</v>
      </c>
      <c r="I406" s="121">
        <f>I407</f>
        <v>17704.010000000002</v>
      </c>
      <c r="J406" s="121">
        <f t="shared" si="207"/>
        <v>4388.3194199999998</v>
      </c>
      <c r="K406" s="121">
        <f>K407</f>
        <v>12704.010000000002</v>
      </c>
      <c r="L406" s="121">
        <f t="shared" si="188"/>
        <v>71.757810801055811</v>
      </c>
    </row>
    <row r="407" spans="1:12" s="205" customFormat="1" ht="24">
      <c r="A407" s="119" t="s">
        <v>85</v>
      </c>
      <c r="B407" s="120" t="s">
        <v>409</v>
      </c>
      <c r="C407" s="120" t="s">
        <v>488</v>
      </c>
      <c r="D407" s="120" t="s">
        <v>78</v>
      </c>
      <c r="E407" s="120" t="s">
        <v>602</v>
      </c>
      <c r="F407" s="120" t="s">
        <v>86</v>
      </c>
      <c r="G407" s="121">
        <v>20100</v>
      </c>
      <c r="H407" s="134">
        <f t="shared" si="171"/>
        <v>-2395.989999999998</v>
      </c>
      <c r="I407" s="121">
        <f>20100-2395.99</f>
        <v>17704.010000000002</v>
      </c>
      <c r="J407" s="121">
        <v>4388.3194199999998</v>
      </c>
      <c r="K407" s="121">
        <f>20100-2395.99-5000</f>
        <v>12704.010000000002</v>
      </c>
      <c r="L407" s="121">
        <f t="shared" si="188"/>
        <v>71.757810801055811</v>
      </c>
    </row>
    <row r="408" spans="1:12" s="205" customFormat="1">
      <c r="A408" s="141" t="s">
        <v>355</v>
      </c>
      <c r="B408" s="111" t="s">
        <v>409</v>
      </c>
      <c r="C408" s="111" t="s">
        <v>488</v>
      </c>
      <c r="D408" s="111" t="s">
        <v>78</v>
      </c>
      <c r="E408" s="111" t="s">
        <v>613</v>
      </c>
      <c r="F408" s="125"/>
      <c r="G408" s="112">
        <f>G409</f>
        <v>200</v>
      </c>
      <c r="H408" s="134">
        <f t="shared" ref="H408:H476" si="208">I408-G408</f>
        <v>-170</v>
      </c>
      <c r="I408" s="112">
        <f>I409</f>
        <v>30</v>
      </c>
      <c r="J408" s="112">
        <f t="shared" ref="J408:J409" si="209">J409</f>
        <v>30</v>
      </c>
      <c r="K408" s="112">
        <f>K409</f>
        <v>30</v>
      </c>
      <c r="L408" s="112">
        <f t="shared" si="188"/>
        <v>100</v>
      </c>
    </row>
    <row r="409" spans="1:12" s="205" customFormat="1">
      <c r="A409" s="119" t="s">
        <v>301</v>
      </c>
      <c r="B409" s="120" t="s">
        <v>409</v>
      </c>
      <c r="C409" s="120" t="s">
        <v>488</v>
      </c>
      <c r="D409" s="120" t="s">
        <v>78</v>
      </c>
      <c r="E409" s="120" t="s">
        <v>613</v>
      </c>
      <c r="F409" s="120" t="s">
        <v>84</v>
      </c>
      <c r="G409" s="121">
        <f>G410</f>
        <v>200</v>
      </c>
      <c r="H409" s="134">
        <f t="shared" si="208"/>
        <v>-170</v>
      </c>
      <c r="I409" s="121">
        <f>I410</f>
        <v>30</v>
      </c>
      <c r="J409" s="121">
        <f t="shared" si="209"/>
        <v>30</v>
      </c>
      <c r="K409" s="121">
        <f>K410</f>
        <v>30</v>
      </c>
      <c r="L409" s="121">
        <f t="shared" si="188"/>
        <v>100</v>
      </c>
    </row>
    <row r="410" spans="1:12" s="205" customFormat="1" ht="24">
      <c r="A410" s="119" t="s">
        <v>85</v>
      </c>
      <c r="B410" s="120" t="s">
        <v>409</v>
      </c>
      <c r="C410" s="120" t="s">
        <v>488</v>
      </c>
      <c r="D410" s="120" t="s">
        <v>78</v>
      </c>
      <c r="E410" s="120" t="s">
        <v>613</v>
      </c>
      <c r="F410" s="120" t="s">
        <v>86</v>
      </c>
      <c r="G410" s="121">
        <v>200</v>
      </c>
      <c r="H410" s="134">
        <f t="shared" si="208"/>
        <v>-170</v>
      </c>
      <c r="I410" s="121">
        <f>200-170</f>
        <v>30</v>
      </c>
      <c r="J410" s="121">
        <v>30</v>
      </c>
      <c r="K410" s="121">
        <f>200-170</f>
        <v>30</v>
      </c>
      <c r="L410" s="121">
        <f t="shared" si="188"/>
        <v>100</v>
      </c>
    </row>
    <row r="411" spans="1:12" s="205" customFormat="1" ht="36">
      <c r="A411" s="110" t="s">
        <v>356</v>
      </c>
      <c r="B411" s="111" t="s">
        <v>409</v>
      </c>
      <c r="C411" s="111" t="s">
        <v>488</v>
      </c>
      <c r="D411" s="111" t="s">
        <v>78</v>
      </c>
      <c r="E411" s="111" t="s">
        <v>614</v>
      </c>
      <c r="F411" s="111"/>
      <c r="G411" s="112">
        <f>G412</f>
        <v>200</v>
      </c>
      <c r="H411" s="134">
        <f t="shared" si="208"/>
        <v>-200</v>
      </c>
      <c r="I411" s="134">
        <f>I412</f>
        <v>0</v>
      </c>
      <c r="J411" s="134">
        <f t="shared" ref="J411:J412" si="210">J412</f>
        <v>0</v>
      </c>
      <c r="K411" s="134">
        <f>K412</f>
        <v>0</v>
      </c>
      <c r="L411" s="112"/>
    </row>
    <row r="412" spans="1:12" s="205" customFormat="1">
      <c r="A412" s="119" t="s">
        <v>301</v>
      </c>
      <c r="B412" s="120" t="s">
        <v>409</v>
      </c>
      <c r="C412" s="120" t="s">
        <v>488</v>
      </c>
      <c r="D412" s="120" t="s">
        <v>78</v>
      </c>
      <c r="E412" s="120" t="s">
        <v>614</v>
      </c>
      <c r="F412" s="120" t="s">
        <v>84</v>
      </c>
      <c r="G412" s="121">
        <f>G413</f>
        <v>200</v>
      </c>
      <c r="H412" s="134">
        <f t="shared" si="208"/>
        <v>-200</v>
      </c>
      <c r="I412" s="135">
        <f>I413</f>
        <v>0</v>
      </c>
      <c r="J412" s="135">
        <f t="shared" si="210"/>
        <v>0</v>
      </c>
      <c r="K412" s="135">
        <f>K413</f>
        <v>0</v>
      </c>
      <c r="L412" s="112"/>
    </row>
    <row r="413" spans="1:12" s="205" customFormat="1" ht="24">
      <c r="A413" s="119" t="s">
        <v>85</v>
      </c>
      <c r="B413" s="120" t="s">
        <v>409</v>
      </c>
      <c r="C413" s="120" t="s">
        <v>488</v>
      </c>
      <c r="D413" s="120" t="s">
        <v>78</v>
      </c>
      <c r="E413" s="120" t="s">
        <v>614</v>
      </c>
      <c r="F413" s="120" t="s">
        <v>86</v>
      </c>
      <c r="G413" s="121">
        <v>200</v>
      </c>
      <c r="H413" s="134">
        <f t="shared" si="208"/>
        <v>-200</v>
      </c>
      <c r="I413" s="135">
        <f>200-200</f>
        <v>0</v>
      </c>
      <c r="J413" s="135">
        <f t="shared" ref="J413" si="211">200-200</f>
        <v>0</v>
      </c>
      <c r="K413" s="135">
        <f>200-200</f>
        <v>0</v>
      </c>
      <c r="L413" s="112"/>
    </row>
    <row r="414" spans="1:12" s="184" customFormat="1" ht="24">
      <c r="A414" s="110" t="s">
        <v>357</v>
      </c>
      <c r="B414" s="111" t="s">
        <v>409</v>
      </c>
      <c r="C414" s="111" t="s">
        <v>488</v>
      </c>
      <c r="D414" s="111" t="s">
        <v>78</v>
      </c>
      <c r="E414" s="111" t="s">
        <v>615</v>
      </c>
      <c r="F414" s="111"/>
      <c r="G414" s="112">
        <f>G415</f>
        <v>500</v>
      </c>
      <c r="H414" s="134">
        <f t="shared" si="208"/>
        <v>-500</v>
      </c>
      <c r="I414" s="134">
        <f>I415</f>
        <v>0</v>
      </c>
      <c r="J414" s="134">
        <f t="shared" ref="J414:J415" si="212">J415</f>
        <v>0</v>
      </c>
      <c r="K414" s="134">
        <f>K415</f>
        <v>0</v>
      </c>
      <c r="L414" s="112"/>
    </row>
    <row r="415" spans="1:12" s="184" customFormat="1">
      <c r="A415" s="119" t="s">
        <v>301</v>
      </c>
      <c r="B415" s="120" t="s">
        <v>409</v>
      </c>
      <c r="C415" s="120" t="s">
        <v>488</v>
      </c>
      <c r="D415" s="120" t="s">
        <v>78</v>
      </c>
      <c r="E415" s="120" t="s">
        <v>615</v>
      </c>
      <c r="F415" s="120" t="s">
        <v>84</v>
      </c>
      <c r="G415" s="121">
        <f>G416</f>
        <v>500</v>
      </c>
      <c r="H415" s="134">
        <f t="shared" si="208"/>
        <v>-500</v>
      </c>
      <c r="I415" s="135">
        <f>I416</f>
        <v>0</v>
      </c>
      <c r="J415" s="135">
        <f t="shared" si="212"/>
        <v>0</v>
      </c>
      <c r="K415" s="135">
        <f>K416</f>
        <v>0</v>
      </c>
      <c r="L415" s="112"/>
    </row>
    <row r="416" spans="1:12" s="184" customFormat="1" ht="24">
      <c r="A416" s="119" t="s">
        <v>85</v>
      </c>
      <c r="B416" s="120" t="s">
        <v>409</v>
      </c>
      <c r="C416" s="120" t="s">
        <v>488</v>
      </c>
      <c r="D416" s="120" t="s">
        <v>78</v>
      </c>
      <c r="E416" s="120" t="s">
        <v>615</v>
      </c>
      <c r="F416" s="120" t="s">
        <v>86</v>
      </c>
      <c r="G416" s="121">
        <v>500</v>
      </c>
      <c r="H416" s="134">
        <f t="shared" si="208"/>
        <v>-500</v>
      </c>
      <c r="I416" s="135">
        <f>500-500</f>
        <v>0</v>
      </c>
      <c r="J416" s="135">
        <f t="shared" ref="J416" si="213">500-500</f>
        <v>0</v>
      </c>
      <c r="K416" s="135">
        <f>500-500</f>
        <v>0</v>
      </c>
      <c r="L416" s="112"/>
    </row>
    <row r="417" spans="1:12" s="184" customFormat="1" ht="24">
      <c r="A417" s="110" t="s">
        <v>453</v>
      </c>
      <c r="B417" s="111" t="s">
        <v>409</v>
      </c>
      <c r="C417" s="111" t="s">
        <v>488</v>
      </c>
      <c r="D417" s="111" t="s">
        <v>78</v>
      </c>
      <c r="E417" s="111" t="s">
        <v>616</v>
      </c>
      <c r="F417" s="111"/>
      <c r="G417" s="112">
        <f>G418</f>
        <v>100</v>
      </c>
      <c r="H417" s="134">
        <f t="shared" si="208"/>
        <v>-4</v>
      </c>
      <c r="I417" s="112">
        <f>I418</f>
        <v>96</v>
      </c>
      <c r="J417" s="112">
        <f t="shared" ref="J417:J418" si="214">J418</f>
        <v>96</v>
      </c>
      <c r="K417" s="112">
        <f>K418</f>
        <v>96</v>
      </c>
      <c r="L417" s="112">
        <f t="shared" si="188"/>
        <v>100</v>
      </c>
    </row>
    <row r="418" spans="1:12" s="184" customFormat="1">
      <c r="A418" s="119" t="s">
        <v>301</v>
      </c>
      <c r="B418" s="120" t="s">
        <v>409</v>
      </c>
      <c r="C418" s="120" t="s">
        <v>488</v>
      </c>
      <c r="D418" s="120" t="s">
        <v>78</v>
      </c>
      <c r="E418" s="120" t="s">
        <v>616</v>
      </c>
      <c r="F418" s="120" t="s">
        <v>84</v>
      </c>
      <c r="G418" s="121">
        <f>G419</f>
        <v>100</v>
      </c>
      <c r="H418" s="134">
        <f t="shared" si="208"/>
        <v>-4</v>
      </c>
      <c r="I418" s="121">
        <f>I419</f>
        <v>96</v>
      </c>
      <c r="J418" s="121">
        <f t="shared" si="214"/>
        <v>96</v>
      </c>
      <c r="K418" s="121">
        <f>K419</f>
        <v>96</v>
      </c>
      <c r="L418" s="121">
        <f t="shared" si="188"/>
        <v>100</v>
      </c>
    </row>
    <row r="419" spans="1:12" s="184" customFormat="1" ht="24">
      <c r="A419" s="119" t="s">
        <v>85</v>
      </c>
      <c r="B419" s="120" t="s">
        <v>409</v>
      </c>
      <c r="C419" s="120" t="s">
        <v>488</v>
      </c>
      <c r="D419" s="120" t="s">
        <v>78</v>
      </c>
      <c r="E419" s="120" t="s">
        <v>616</v>
      </c>
      <c r="F419" s="120" t="s">
        <v>86</v>
      </c>
      <c r="G419" s="121">
        <v>100</v>
      </c>
      <c r="H419" s="134">
        <f t="shared" si="208"/>
        <v>-4</v>
      </c>
      <c r="I419" s="121">
        <f>100-4</f>
        <v>96</v>
      </c>
      <c r="J419" s="121">
        <v>96</v>
      </c>
      <c r="K419" s="121">
        <f>100-4</f>
        <v>96</v>
      </c>
      <c r="L419" s="121">
        <f t="shared" si="188"/>
        <v>100</v>
      </c>
    </row>
    <row r="420" spans="1:12" s="184" customFormat="1" ht="24">
      <c r="A420" s="110" t="s">
        <v>340</v>
      </c>
      <c r="B420" s="111" t="s">
        <v>409</v>
      </c>
      <c r="C420" s="111" t="s">
        <v>488</v>
      </c>
      <c r="D420" s="111" t="s">
        <v>78</v>
      </c>
      <c r="E420" s="111" t="s">
        <v>617</v>
      </c>
      <c r="F420" s="111"/>
      <c r="G420" s="112">
        <f>G421</f>
        <v>300</v>
      </c>
      <c r="H420" s="134">
        <f t="shared" si="208"/>
        <v>0</v>
      </c>
      <c r="I420" s="112">
        <f>I421</f>
        <v>300</v>
      </c>
      <c r="J420" s="228">
        <f t="shared" ref="J420:J421" si="215">J421</f>
        <v>0</v>
      </c>
      <c r="K420" s="112">
        <f>K421</f>
        <v>300</v>
      </c>
      <c r="L420" s="112">
        <f t="shared" si="188"/>
        <v>100</v>
      </c>
    </row>
    <row r="421" spans="1:12" s="184" customFormat="1">
      <c r="A421" s="119" t="s">
        <v>301</v>
      </c>
      <c r="B421" s="120" t="s">
        <v>409</v>
      </c>
      <c r="C421" s="120" t="s">
        <v>488</v>
      </c>
      <c r="D421" s="120" t="s">
        <v>78</v>
      </c>
      <c r="E421" s="120" t="s">
        <v>617</v>
      </c>
      <c r="F421" s="120" t="s">
        <v>84</v>
      </c>
      <c r="G421" s="121">
        <f>G422</f>
        <v>300</v>
      </c>
      <c r="H421" s="134">
        <f t="shared" si="208"/>
        <v>0</v>
      </c>
      <c r="I421" s="121">
        <f>I422</f>
        <v>300</v>
      </c>
      <c r="J421" s="229">
        <f t="shared" si="215"/>
        <v>0</v>
      </c>
      <c r="K421" s="121">
        <f>K422</f>
        <v>300</v>
      </c>
      <c r="L421" s="121">
        <f t="shared" si="188"/>
        <v>100</v>
      </c>
    </row>
    <row r="422" spans="1:12" s="184" customFormat="1" ht="24">
      <c r="A422" s="119" t="s">
        <v>85</v>
      </c>
      <c r="B422" s="120" t="s">
        <v>409</v>
      </c>
      <c r="C422" s="120" t="s">
        <v>488</v>
      </c>
      <c r="D422" s="120" t="s">
        <v>78</v>
      </c>
      <c r="E422" s="120" t="s">
        <v>617</v>
      </c>
      <c r="F422" s="120" t="s">
        <v>86</v>
      </c>
      <c r="G422" s="121">
        <v>300</v>
      </c>
      <c r="H422" s="134">
        <f t="shared" si="208"/>
        <v>0</v>
      </c>
      <c r="I422" s="121">
        <v>300</v>
      </c>
      <c r="J422" s="229">
        <v>0</v>
      </c>
      <c r="K422" s="121">
        <v>300</v>
      </c>
      <c r="L422" s="121">
        <f t="shared" si="188"/>
        <v>100</v>
      </c>
    </row>
    <row r="423" spans="1:12" s="184" customFormat="1" ht="27">
      <c r="A423" s="123" t="s">
        <v>268</v>
      </c>
      <c r="B423" s="114">
        <v>603</v>
      </c>
      <c r="C423" s="114" t="s">
        <v>488</v>
      </c>
      <c r="D423" s="114" t="s">
        <v>78</v>
      </c>
      <c r="E423" s="114" t="s">
        <v>270</v>
      </c>
      <c r="F423" s="114"/>
      <c r="G423" s="115">
        <f>G424</f>
        <v>4025</v>
      </c>
      <c r="H423" s="134">
        <f t="shared" si="208"/>
        <v>0</v>
      </c>
      <c r="I423" s="115">
        <f>I424</f>
        <v>4025</v>
      </c>
      <c r="J423" s="115">
        <f t="shared" ref="J423:J424" si="216">J424</f>
        <v>2981.058</v>
      </c>
      <c r="K423" s="115">
        <f>K424</f>
        <v>4025</v>
      </c>
      <c r="L423" s="112">
        <f t="shared" si="188"/>
        <v>100</v>
      </c>
    </row>
    <row r="424" spans="1:12" s="184" customFormat="1" ht="24">
      <c r="A424" s="110" t="s">
        <v>269</v>
      </c>
      <c r="B424" s="111">
        <v>603</v>
      </c>
      <c r="C424" s="111" t="s">
        <v>488</v>
      </c>
      <c r="D424" s="111" t="s">
        <v>78</v>
      </c>
      <c r="E424" s="111" t="s">
        <v>270</v>
      </c>
      <c r="F424" s="111"/>
      <c r="G424" s="112">
        <f>G425</f>
        <v>4025</v>
      </c>
      <c r="H424" s="134">
        <f t="shared" si="208"/>
        <v>0</v>
      </c>
      <c r="I424" s="112">
        <f>I425</f>
        <v>4025</v>
      </c>
      <c r="J424" s="112">
        <f t="shared" si="216"/>
        <v>2981.058</v>
      </c>
      <c r="K424" s="112">
        <f>K425</f>
        <v>4025</v>
      </c>
      <c r="L424" s="112">
        <f t="shared" si="188"/>
        <v>100</v>
      </c>
    </row>
    <row r="425" spans="1:12" s="184" customFormat="1" ht="36">
      <c r="A425" s="124" t="s">
        <v>410</v>
      </c>
      <c r="B425" s="125">
        <v>603</v>
      </c>
      <c r="C425" s="125" t="s">
        <v>488</v>
      </c>
      <c r="D425" s="125" t="s">
        <v>78</v>
      </c>
      <c r="E425" s="139" t="s">
        <v>270</v>
      </c>
      <c r="F425" s="125"/>
      <c r="G425" s="144">
        <f>G426+G429</f>
        <v>4025</v>
      </c>
      <c r="H425" s="134">
        <f t="shared" si="208"/>
        <v>0</v>
      </c>
      <c r="I425" s="144">
        <f>I426+I429</f>
        <v>4025</v>
      </c>
      <c r="J425" s="144">
        <f t="shared" ref="J425" si="217">J426+J429</f>
        <v>2981.058</v>
      </c>
      <c r="K425" s="144">
        <f>K426+K429</f>
        <v>4025</v>
      </c>
      <c r="L425" s="144">
        <f t="shared" si="188"/>
        <v>100</v>
      </c>
    </row>
    <row r="426" spans="1:12" s="184" customFormat="1" ht="24">
      <c r="A426" s="127" t="s">
        <v>392</v>
      </c>
      <c r="B426" s="111" t="s">
        <v>409</v>
      </c>
      <c r="C426" s="111" t="s">
        <v>488</v>
      </c>
      <c r="D426" s="111" t="s">
        <v>78</v>
      </c>
      <c r="E426" s="111" t="s">
        <v>72</v>
      </c>
      <c r="F426" s="111"/>
      <c r="G426" s="112">
        <f>G427</f>
        <v>3750</v>
      </c>
      <c r="H426" s="134">
        <f t="shared" si="208"/>
        <v>0</v>
      </c>
      <c r="I426" s="112">
        <f>I427</f>
        <v>3750</v>
      </c>
      <c r="J426" s="112">
        <f t="shared" ref="J426:J427" si="218">J427</f>
        <v>2873.799</v>
      </c>
      <c r="K426" s="112">
        <f>K427</f>
        <v>3750</v>
      </c>
      <c r="L426" s="112">
        <f t="shared" ref="L426:L433" si="219">K426/I426*100</f>
        <v>100</v>
      </c>
    </row>
    <row r="427" spans="1:12" s="184" customFormat="1" ht="36">
      <c r="A427" s="119" t="s">
        <v>79</v>
      </c>
      <c r="B427" s="120" t="s">
        <v>409</v>
      </c>
      <c r="C427" s="120" t="s">
        <v>488</v>
      </c>
      <c r="D427" s="120" t="s">
        <v>78</v>
      </c>
      <c r="E427" s="120" t="s">
        <v>72</v>
      </c>
      <c r="F427" s="120" t="s">
        <v>80</v>
      </c>
      <c r="G427" s="121">
        <f>G428</f>
        <v>3750</v>
      </c>
      <c r="H427" s="134">
        <f t="shared" si="208"/>
        <v>0</v>
      </c>
      <c r="I427" s="121">
        <f>I428</f>
        <v>3750</v>
      </c>
      <c r="J427" s="121">
        <f t="shared" si="218"/>
        <v>2873.799</v>
      </c>
      <c r="K427" s="121">
        <f>K428</f>
        <v>3750</v>
      </c>
      <c r="L427" s="121">
        <f t="shared" si="219"/>
        <v>100</v>
      </c>
    </row>
    <row r="428" spans="1:12" s="184" customFormat="1">
      <c r="A428" s="119" t="s">
        <v>81</v>
      </c>
      <c r="B428" s="120" t="s">
        <v>409</v>
      </c>
      <c r="C428" s="120" t="s">
        <v>488</v>
      </c>
      <c r="D428" s="120" t="s">
        <v>78</v>
      </c>
      <c r="E428" s="120" t="s">
        <v>72</v>
      </c>
      <c r="F428" s="120" t="s">
        <v>82</v>
      </c>
      <c r="G428" s="121">
        <f>2870+20+860</f>
        <v>3750</v>
      </c>
      <c r="H428" s="134">
        <f t="shared" si="208"/>
        <v>0</v>
      </c>
      <c r="I428" s="121">
        <f>2870+20+860</f>
        <v>3750</v>
      </c>
      <c r="J428" s="121">
        <v>2873.799</v>
      </c>
      <c r="K428" s="121">
        <f>2870+20+860</f>
        <v>3750</v>
      </c>
      <c r="L428" s="121">
        <f t="shared" si="219"/>
        <v>100</v>
      </c>
    </row>
    <row r="429" spans="1:12" s="184" customFormat="1">
      <c r="A429" s="110" t="s">
        <v>83</v>
      </c>
      <c r="B429" s="111" t="s">
        <v>409</v>
      </c>
      <c r="C429" s="111" t="s">
        <v>488</v>
      </c>
      <c r="D429" s="111" t="s">
        <v>78</v>
      </c>
      <c r="E429" s="111" t="s">
        <v>73</v>
      </c>
      <c r="F429" s="111"/>
      <c r="G429" s="112">
        <f>G430+G432</f>
        <v>275</v>
      </c>
      <c r="H429" s="134">
        <f t="shared" si="208"/>
        <v>0</v>
      </c>
      <c r="I429" s="112">
        <f>I430+I432</f>
        <v>275</v>
      </c>
      <c r="J429" s="112">
        <f t="shared" ref="J429" si="220">J430+J432</f>
        <v>107.259</v>
      </c>
      <c r="K429" s="112">
        <f>K430+K432</f>
        <v>275</v>
      </c>
      <c r="L429" s="112">
        <f t="shared" si="219"/>
        <v>100</v>
      </c>
    </row>
    <row r="430" spans="1:12" s="184" customFormat="1">
      <c r="A430" s="119" t="s">
        <v>301</v>
      </c>
      <c r="B430" s="120" t="s">
        <v>409</v>
      </c>
      <c r="C430" s="120" t="s">
        <v>488</v>
      </c>
      <c r="D430" s="120" t="s">
        <v>78</v>
      </c>
      <c r="E430" s="120" t="s">
        <v>73</v>
      </c>
      <c r="F430" s="120" t="s">
        <v>84</v>
      </c>
      <c r="G430" s="121">
        <f>G431</f>
        <v>235</v>
      </c>
      <c r="H430" s="134">
        <f t="shared" si="208"/>
        <v>0</v>
      </c>
      <c r="I430" s="121">
        <f>I431</f>
        <v>235</v>
      </c>
      <c r="J430" s="121">
        <f t="shared" ref="J430" si="221">J431</f>
        <v>107.259</v>
      </c>
      <c r="K430" s="121">
        <f>K431</f>
        <v>235</v>
      </c>
      <c r="L430" s="121">
        <f t="shared" si="219"/>
        <v>100</v>
      </c>
    </row>
    <row r="431" spans="1:12" s="184" customFormat="1" ht="24">
      <c r="A431" s="119" t="s">
        <v>85</v>
      </c>
      <c r="B431" s="120" t="s">
        <v>409</v>
      </c>
      <c r="C431" s="120" t="s">
        <v>488</v>
      </c>
      <c r="D431" s="120" t="s">
        <v>78</v>
      </c>
      <c r="E431" s="120" t="s">
        <v>73</v>
      </c>
      <c r="F431" s="120" t="s">
        <v>86</v>
      </c>
      <c r="G431" s="121">
        <f>85+100+50</f>
        <v>235</v>
      </c>
      <c r="H431" s="134">
        <f t="shared" si="208"/>
        <v>0</v>
      </c>
      <c r="I431" s="121">
        <f>85+100+50</f>
        <v>235</v>
      </c>
      <c r="J431" s="121">
        <v>107.259</v>
      </c>
      <c r="K431" s="121">
        <f>85+100+50</f>
        <v>235</v>
      </c>
      <c r="L431" s="121">
        <f t="shared" si="219"/>
        <v>100</v>
      </c>
    </row>
    <row r="432" spans="1:12" s="184" customFormat="1">
      <c r="A432" s="119" t="s">
        <v>87</v>
      </c>
      <c r="B432" s="120" t="s">
        <v>409</v>
      </c>
      <c r="C432" s="120" t="s">
        <v>488</v>
      </c>
      <c r="D432" s="120" t="s">
        <v>78</v>
      </c>
      <c r="E432" s="120" t="s">
        <v>73</v>
      </c>
      <c r="F432" s="120" t="s">
        <v>88</v>
      </c>
      <c r="G432" s="121">
        <f>G433</f>
        <v>40</v>
      </c>
      <c r="H432" s="134">
        <f t="shared" si="208"/>
        <v>0</v>
      </c>
      <c r="I432" s="121">
        <f>I433</f>
        <v>40</v>
      </c>
      <c r="J432" s="229">
        <f t="shared" ref="J432" si="222">J433</f>
        <v>0</v>
      </c>
      <c r="K432" s="121">
        <f>K433</f>
        <v>40</v>
      </c>
      <c r="L432" s="121">
        <f t="shared" si="219"/>
        <v>100</v>
      </c>
    </row>
    <row r="433" spans="1:12" s="184" customFormat="1">
      <c r="A433" s="119" t="s">
        <v>514</v>
      </c>
      <c r="B433" s="120" t="s">
        <v>409</v>
      </c>
      <c r="C433" s="120" t="s">
        <v>488</v>
      </c>
      <c r="D433" s="120" t="s">
        <v>78</v>
      </c>
      <c r="E433" s="120" t="s">
        <v>73</v>
      </c>
      <c r="F433" s="120" t="s">
        <v>89</v>
      </c>
      <c r="G433" s="121">
        <v>40</v>
      </c>
      <c r="H433" s="134">
        <f t="shared" si="208"/>
        <v>0</v>
      </c>
      <c r="I433" s="121">
        <v>40</v>
      </c>
      <c r="J433" s="229">
        <v>0</v>
      </c>
      <c r="K433" s="121">
        <v>40</v>
      </c>
      <c r="L433" s="121">
        <f t="shared" si="219"/>
        <v>100</v>
      </c>
    </row>
    <row r="434" spans="1:12" s="184" customFormat="1" ht="31.5">
      <c r="A434" s="113" t="s">
        <v>141</v>
      </c>
      <c r="B434" s="116" t="s">
        <v>140</v>
      </c>
      <c r="C434" s="117"/>
      <c r="D434" s="117"/>
      <c r="E434" s="117"/>
      <c r="F434" s="117"/>
      <c r="G434" s="118">
        <f>G435+G445</f>
        <v>389255</v>
      </c>
      <c r="H434" s="134">
        <f t="shared" si="208"/>
        <v>94564.791799999948</v>
      </c>
      <c r="I434" s="118">
        <f>I435+I445+I505</f>
        <v>483819.79179999995</v>
      </c>
      <c r="J434" s="118">
        <f t="shared" ref="J434" si="223">J435+J445+J505</f>
        <v>389278.07400000008</v>
      </c>
      <c r="K434" s="118">
        <f>K435+K445+K505</f>
        <v>481125.80179999996</v>
      </c>
      <c r="L434" s="118">
        <f>K434/I434*100</f>
        <v>99.443183175707361</v>
      </c>
    </row>
    <row r="435" spans="1:12" s="184" customFormat="1">
      <c r="A435" s="110" t="s">
        <v>363</v>
      </c>
      <c r="B435" s="111" t="s">
        <v>140</v>
      </c>
      <c r="C435" s="111" t="s">
        <v>78</v>
      </c>
      <c r="D435" s="111" t="s">
        <v>77</v>
      </c>
      <c r="E435" s="111"/>
      <c r="F435" s="111"/>
      <c r="G435" s="112">
        <f>G436</f>
        <v>6509</v>
      </c>
      <c r="H435" s="134">
        <f t="shared" si="208"/>
        <v>143.69999999999982</v>
      </c>
      <c r="I435" s="112">
        <f>I436</f>
        <v>6652.7</v>
      </c>
      <c r="J435" s="112">
        <f t="shared" ref="J435:J437" si="224">J436</f>
        <v>5034.6679999999997</v>
      </c>
      <c r="K435" s="112">
        <f>K436</f>
        <v>6652.7</v>
      </c>
      <c r="L435" s="112">
        <f>K435/I435*100</f>
        <v>100</v>
      </c>
    </row>
    <row r="436" spans="1:12" s="184" customFormat="1">
      <c r="A436" s="110" t="s">
        <v>373</v>
      </c>
      <c r="B436" s="111" t="s">
        <v>140</v>
      </c>
      <c r="C436" s="111" t="s">
        <v>78</v>
      </c>
      <c r="D436" s="111" t="s">
        <v>490</v>
      </c>
      <c r="E436" s="111"/>
      <c r="F436" s="111"/>
      <c r="G436" s="112">
        <f>G437</f>
        <v>6509</v>
      </c>
      <c r="H436" s="134">
        <f t="shared" si="208"/>
        <v>143.69999999999982</v>
      </c>
      <c r="I436" s="112">
        <f>I437</f>
        <v>6652.7</v>
      </c>
      <c r="J436" s="112">
        <f t="shared" si="224"/>
        <v>5034.6679999999997</v>
      </c>
      <c r="K436" s="112">
        <f>K437</f>
        <v>6652.7</v>
      </c>
      <c r="L436" s="112">
        <f t="shared" ref="L436:L499" si="225">K436/I436*100</f>
        <v>100</v>
      </c>
    </row>
    <row r="437" spans="1:12" s="184" customFormat="1" ht="27">
      <c r="A437" s="123" t="s">
        <v>619</v>
      </c>
      <c r="B437" s="114" t="s">
        <v>140</v>
      </c>
      <c r="C437" s="114" t="s">
        <v>78</v>
      </c>
      <c r="D437" s="114" t="s">
        <v>490</v>
      </c>
      <c r="E437" s="149" t="s">
        <v>254</v>
      </c>
      <c r="F437" s="114"/>
      <c r="G437" s="115">
        <f>G438</f>
        <v>6509</v>
      </c>
      <c r="H437" s="134">
        <f t="shared" si="208"/>
        <v>143.69999999999982</v>
      </c>
      <c r="I437" s="115">
        <f>I438</f>
        <v>6652.7</v>
      </c>
      <c r="J437" s="115">
        <f t="shared" si="224"/>
        <v>5034.6679999999997</v>
      </c>
      <c r="K437" s="115">
        <f>K438</f>
        <v>6652.7</v>
      </c>
      <c r="L437" s="115">
        <f t="shared" si="225"/>
        <v>100</v>
      </c>
    </row>
    <row r="438" spans="1:12" s="184" customFormat="1">
      <c r="A438" s="110" t="s">
        <v>259</v>
      </c>
      <c r="B438" s="111" t="s">
        <v>140</v>
      </c>
      <c r="C438" s="111" t="s">
        <v>78</v>
      </c>
      <c r="D438" s="111" t="s">
        <v>490</v>
      </c>
      <c r="E438" s="111" t="s">
        <v>620</v>
      </c>
      <c r="F438" s="111"/>
      <c r="G438" s="112">
        <f>G439+G441+G443</f>
        <v>6509</v>
      </c>
      <c r="H438" s="134">
        <f t="shared" si="208"/>
        <v>143.69999999999982</v>
      </c>
      <c r="I438" s="112">
        <f>I439+I441+I443</f>
        <v>6652.7</v>
      </c>
      <c r="J438" s="112">
        <f t="shared" ref="J438" si="226">J439+J441+J443</f>
        <v>5034.6679999999997</v>
      </c>
      <c r="K438" s="112">
        <f>K439+K441+K443</f>
        <v>6652.7</v>
      </c>
      <c r="L438" s="112">
        <f t="shared" si="225"/>
        <v>100</v>
      </c>
    </row>
    <row r="439" spans="1:12" s="184" customFormat="1" ht="36">
      <c r="A439" s="119" t="s">
        <v>79</v>
      </c>
      <c r="B439" s="120" t="s">
        <v>140</v>
      </c>
      <c r="C439" s="120" t="s">
        <v>78</v>
      </c>
      <c r="D439" s="120" t="s">
        <v>490</v>
      </c>
      <c r="E439" s="120" t="s">
        <v>620</v>
      </c>
      <c r="F439" s="120" t="s">
        <v>80</v>
      </c>
      <c r="G439" s="121">
        <f>G440</f>
        <v>5700</v>
      </c>
      <c r="H439" s="134">
        <f t="shared" si="208"/>
        <v>0.72544999999990978</v>
      </c>
      <c r="I439" s="121">
        <f>I440</f>
        <v>5700.7254499999999</v>
      </c>
      <c r="J439" s="121">
        <f t="shared" ref="J439" si="227">J440</f>
        <v>4563.3239999999996</v>
      </c>
      <c r="K439" s="121">
        <f>K440</f>
        <v>5700.7254499999999</v>
      </c>
      <c r="L439" s="121">
        <f t="shared" si="225"/>
        <v>100</v>
      </c>
    </row>
    <row r="440" spans="1:12" s="184" customFormat="1">
      <c r="A440" s="119" t="s">
        <v>486</v>
      </c>
      <c r="B440" s="120" t="s">
        <v>140</v>
      </c>
      <c r="C440" s="120" t="s">
        <v>78</v>
      </c>
      <c r="D440" s="120" t="s">
        <v>490</v>
      </c>
      <c r="E440" s="120" t="s">
        <v>620</v>
      </c>
      <c r="F440" s="120" t="s">
        <v>487</v>
      </c>
      <c r="G440" s="121">
        <f>4380+1320</f>
        <v>5700</v>
      </c>
      <c r="H440" s="134">
        <f t="shared" si="208"/>
        <v>0.72544999999990978</v>
      </c>
      <c r="I440" s="121">
        <f>4380+1320+0.72545</f>
        <v>5700.7254499999999</v>
      </c>
      <c r="J440" s="121">
        <v>4563.3239999999996</v>
      </c>
      <c r="K440" s="121">
        <f>4380+1320+0.72545</f>
        <v>5700.7254499999999</v>
      </c>
      <c r="L440" s="121">
        <f t="shared" si="225"/>
        <v>100</v>
      </c>
    </row>
    <row r="441" spans="1:12" s="184" customFormat="1">
      <c r="A441" s="119" t="s">
        <v>301</v>
      </c>
      <c r="B441" s="120" t="s">
        <v>140</v>
      </c>
      <c r="C441" s="120" t="s">
        <v>78</v>
      </c>
      <c r="D441" s="120" t="s">
        <v>490</v>
      </c>
      <c r="E441" s="120" t="s">
        <v>620</v>
      </c>
      <c r="F441" s="120" t="s">
        <v>84</v>
      </c>
      <c r="G441" s="121">
        <f>G442</f>
        <v>784</v>
      </c>
      <c r="H441" s="134">
        <f t="shared" si="208"/>
        <v>126.29854999999998</v>
      </c>
      <c r="I441" s="121">
        <f>I442</f>
        <v>910.29854999999998</v>
      </c>
      <c r="J441" s="121">
        <f t="shared" ref="J441" si="228">J442</f>
        <v>433.49</v>
      </c>
      <c r="K441" s="121">
        <f>K442</f>
        <v>910.29854999999998</v>
      </c>
      <c r="L441" s="121">
        <f t="shared" si="225"/>
        <v>100</v>
      </c>
    </row>
    <row r="442" spans="1:12" s="184" customFormat="1" ht="24">
      <c r="A442" s="119" t="s">
        <v>85</v>
      </c>
      <c r="B442" s="120" t="s">
        <v>140</v>
      </c>
      <c r="C442" s="120" t="s">
        <v>78</v>
      </c>
      <c r="D442" s="120" t="s">
        <v>490</v>
      </c>
      <c r="E442" s="120" t="s">
        <v>620</v>
      </c>
      <c r="F442" s="120" t="s">
        <v>86</v>
      </c>
      <c r="G442" s="121">
        <f>24.2+75+53.4+198.4+433</f>
        <v>784</v>
      </c>
      <c r="H442" s="134">
        <f t="shared" si="208"/>
        <v>126.29854999999998</v>
      </c>
      <c r="I442" s="121">
        <f>24.2+75+53.4+198.4+433-0.72545-16.676+143.7</f>
        <v>910.29854999999998</v>
      </c>
      <c r="J442" s="121">
        <v>433.49</v>
      </c>
      <c r="K442" s="121">
        <f>24.2+75+53.4+198.4+433-0.72545-16.676+143.7</f>
        <v>910.29854999999998</v>
      </c>
      <c r="L442" s="121">
        <f t="shared" si="225"/>
        <v>100</v>
      </c>
    </row>
    <row r="443" spans="1:12" s="184" customFormat="1">
      <c r="A443" s="119" t="s">
        <v>87</v>
      </c>
      <c r="B443" s="120" t="s">
        <v>140</v>
      </c>
      <c r="C443" s="120" t="s">
        <v>78</v>
      </c>
      <c r="D443" s="120" t="s">
        <v>490</v>
      </c>
      <c r="E443" s="120" t="s">
        <v>620</v>
      </c>
      <c r="F443" s="120" t="s">
        <v>88</v>
      </c>
      <c r="G443" s="121">
        <f>G444</f>
        <v>25</v>
      </c>
      <c r="H443" s="134">
        <f t="shared" si="208"/>
        <v>16.676000000000002</v>
      </c>
      <c r="I443" s="121">
        <f>I444</f>
        <v>41.676000000000002</v>
      </c>
      <c r="J443" s="121">
        <f t="shared" ref="J443" si="229">J444</f>
        <v>37.853999999999999</v>
      </c>
      <c r="K443" s="121">
        <f>K444</f>
        <v>41.676000000000002</v>
      </c>
      <c r="L443" s="121">
        <f t="shared" si="225"/>
        <v>100</v>
      </c>
    </row>
    <row r="444" spans="1:12" s="184" customFormat="1">
      <c r="A444" s="119" t="s">
        <v>155</v>
      </c>
      <c r="B444" s="120" t="s">
        <v>140</v>
      </c>
      <c r="C444" s="120" t="s">
        <v>78</v>
      </c>
      <c r="D444" s="120" t="s">
        <v>490</v>
      </c>
      <c r="E444" s="120" t="s">
        <v>620</v>
      </c>
      <c r="F444" s="120" t="s">
        <v>89</v>
      </c>
      <c r="G444" s="121">
        <v>25</v>
      </c>
      <c r="H444" s="134">
        <f t="shared" si="208"/>
        <v>16.676000000000002</v>
      </c>
      <c r="I444" s="121">
        <f>25+16.676</f>
        <v>41.676000000000002</v>
      </c>
      <c r="J444" s="121">
        <v>37.853999999999999</v>
      </c>
      <c r="K444" s="121">
        <f>25+16.676</f>
        <v>41.676000000000002</v>
      </c>
      <c r="L444" s="121">
        <f t="shared" si="225"/>
        <v>100</v>
      </c>
    </row>
    <row r="445" spans="1:12" s="184" customFormat="1">
      <c r="A445" s="110" t="s">
        <v>375</v>
      </c>
      <c r="B445" s="111" t="s">
        <v>140</v>
      </c>
      <c r="C445" s="111" t="s">
        <v>432</v>
      </c>
      <c r="D445" s="111" t="s">
        <v>77</v>
      </c>
      <c r="E445" s="111"/>
      <c r="F445" s="111"/>
      <c r="G445" s="112">
        <f>G451+G493</f>
        <v>382746</v>
      </c>
      <c r="H445" s="134">
        <f t="shared" si="208"/>
        <v>94069.516799999925</v>
      </c>
      <c r="I445" s="112">
        <f>I451+I493+I446</f>
        <v>476815.51679999992</v>
      </c>
      <c r="J445" s="112">
        <f t="shared" ref="J445" si="230">J451+J493+J446</f>
        <v>383891.83100000006</v>
      </c>
      <c r="K445" s="112">
        <f>K451+K493+K446</f>
        <v>474121.52679999993</v>
      </c>
      <c r="L445" s="112">
        <f t="shared" si="225"/>
        <v>99.435003705819</v>
      </c>
    </row>
    <row r="446" spans="1:12" s="184" customFormat="1">
      <c r="A446" s="110" t="s">
        <v>377</v>
      </c>
      <c r="B446" s="111" t="s">
        <v>140</v>
      </c>
      <c r="C446" s="111" t="s">
        <v>432</v>
      </c>
      <c r="D446" s="111" t="s">
        <v>491</v>
      </c>
      <c r="E446" s="111"/>
      <c r="F446" s="111"/>
      <c r="G446" s="112"/>
      <c r="H446" s="134"/>
      <c r="I446" s="112">
        <f>I447</f>
        <v>27113.54</v>
      </c>
      <c r="J446" s="112">
        <f t="shared" ref="J446:J449" si="231">J447</f>
        <v>17007.334999999999</v>
      </c>
      <c r="K446" s="112">
        <f>K447</f>
        <v>27113.54</v>
      </c>
      <c r="L446" s="112">
        <f t="shared" si="225"/>
        <v>100</v>
      </c>
    </row>
    <row r="447" spans="1:12" s="184" customFormat="1" ht="27">
      <c r="A447" s="123" t="s">
        <v>619</v>
      </c>
      <c r="B447" s="114" t="s">
        <v>140</v>
      </c>
      <c r="C447" s="114" t="s">
        <v>432</v>
      </c>
      <c r="D447" s="114" t="s">
        <v>491</v>
      </c>
      <c r="E447" s="149" t="s">
        <v>254</v>
      </c>
      <c r="F447" s="111"/>
      <c r="G447" s="112"/>
      <c r="H447" s="134"/>
      <c r="I447" s="115">
        <f>I448</f>
        <v>27113.54</v>
      </c>
      <c r="J447" s="115">
        <f t="shared" si="231"/>
        <v>17007.334999999999</v>
      </c>
      <c r="K447" s="115">
        <f>K448</f>
        <v>27113.54</v>
      </c>
      <c r="L447" s="115">
        <f t="shared" si="225"/>
        <v>100</v>
      </c>
    </row>
    <row r="448" spans="1:12" s="184" customFormat="1" ht="24">
      <c r="A448" s="110" t="s">
        <v>759</v>
      </c>
      <c r="B448" s="111" t="s">
        <v>140</v>
      </c>
      <c r="C448" s="111" t="s">
        <v>432</v>
      </c>
      <c r="D448" s="111" t="s">
        <v>491</v>
      </c>
      <c r="E448" s="111" t="s">
        <v>760</v>
      </c>
      <c r="F448" s="111"/>
      <c r="G448" s="112"/>
      <c r="H448" s="134"/>
      <c r="I448" s="112">
        <f>I449</f>
        <v>27113.54</v>
      </c>
      <c r="J448" s="112">
        <f t="shared" si="231"/>
        <v>17007.334999999999</v>
      </c>
      <c r="K448" s="112">
        <f>K449</f>
        <v>27113.54</v>
      </c>
      <c r="L448" s="112">
        <f t="shared" si="225"/>
        <v>100</v>
      </c>
    </row>
    <row r="449" spans="1:12" s="184" customFormat="1" ht="24">
      <c r="A449" s="119" t="s">
        <v>104</v>
      </c>
      <c r="B449" s="120" t="s">
        <v>140</v>
      </c>
      <c r="C449" s="120" t="s">
        <v>432</v>
      </c>
      <c r="D449" s="120" t="s">
        <v>491</v>
      </c>
      <c r="E449" s="120" t="s">
        <v>760</v>
      </c>
      <c r="F449" s="120" t="s">
        <v>408</v>
      </c>
      <c r="G449" s="112"/>
      <c r="H449" s="134"/>
      <c r="I449" s="121">
        <f>I450</f>
        <v>27113.54</v>
      </c>
      <c r="J449" s="121">
        <f t="shared" si="231"/>
        <v>17007.334999999999</v>
      </c>
      <c r="K449" s="121">
        <f>K450</f>
        <v>27113.54</v>
      </c>
      <c r="L449" s="121">
        <f t="shared" si="225"/>
        <v>100</v>
      </c>
    </row>
    <row r="450" spans="1:12" s="184" customFormat="1">
      <c r="A450" s="119" t="s">
        <v>105</v>
      </c>
      <c r="B450" s="120" t="s">
        <v>140</v>
      </c>
      <c r="C450" s="120" t="s">
        <v>432</v>
      </c>
      <c r="D450" s="120" t="s">
        <v>491</v>
      </c>
      <c r="E450" s="120" t="s">
        <v>760</v>
      </c>
      <c r="F450" s="120" t="s">
        <v>425</v>
      </c>
      <c r="G450" s="112"/>
      <c r="H450" s="134"/>
      <c r="I450" s="121">
        <v>27113.54</v>
      </c>
      <c r="J450" s="121">
        <v>17007.334999999999</v>
      </c>
      <c r="K450" s="121">
        <v>27113.54</v>
      </c>
      <c r="L450" s="121">
        <f t="shared" si="225"/>
        <v>100</v>
      </c>
    </row>
    <row r="451" spans="1:12" s="184" customFormat="1">
      <c r="A451" s="110" t="s">
        <v>379</v>
      </c>
      <c r="B451" s="111" t="s">
        <v>140</v>
      </c>
      <c r="C451" s="111" t="s">
        <v>432</v>
      </c>
      <c r="D451" s="111" t="s">
        <v>483</v>
      </c>
      <c r="E451" s="111"/>
      <c r="F451" s="111"/>
      <c r="G451" s="112">
        <f>G452+G486</f>
        <v>376083</v>
      </c>
      <c r="H451" s="134">
        <f t="shared" si="208"/>
        <v>66955.976799999946</v>
      </c>
      <c r="I451" s="112">
        <f>I452+I486</f>
        <v>443038.97679999995</v>
      </c>
      <c r="J451" s="112">
        <f t="shared" ref="J451" si="232">J452+J486</f>
        <v>361499.20900000003</v>
      </c>
      <c r="K451" s="112">
        <f>K452+K486</f>
        <v>440344.98679999996</v>
      </c>
      <c r="L451" s="112">
        <f t="shared" si="225"/>
        <v>99.391929346835752</v>
      </c>
    </row>
    <row r="452" spans="1:12" s="184" customFormat="1" ht="27">
      <c r="A452" s="123" t="s">
        <v>619</v>
      </c>
      <c r="B452" s="114" t="s">
        <v>140</v>
      </c>
      <c r="C452" s="114" t="s">
        <v>432</v>
      </c>
      <c r="D452" s="114" t="s">
        <v>483</v>
      </c>
      <c r="E452" s="149" t="s">
        <v>254</v>
      </c>
      <c r="F452" s="114"/>
      <c r="G452" s="115">
        <f>G453+G456+G459+G462+G465+G468+G471+G474+G477+G480+G483</f>
        <v>368083</v>
      </c>
      <c r="H452" s="134">
        <f t="shared" si="208"/>
        <v>-18962.003000000026</v>
      </c>
      <c r="I452" s="115">
        <f>I453+I456+I459+I462+I465+I468+I471+I474+I477+I480+I483</f>
        <v>349120.99699999997</v>
      </c>
      <c r="J452" s="115">
        <f t="shared" ref="J452" si="233">J453+J456+J459+J462+J465+J468+J471+J474+J477+J480+J483</f>
        <v>289363.304</v>
      </c>
      <c r="K452" s="115">
        <f>K453+K456+K459+K462+K465+K468+K471+K474+K477+K480+K483</f>
        <v>346427.00699999998</v>
      </c>
      <c r="L452" s="112">
        <f t="shared" si="225"/>
        <v>99.228350622520708</v>
      </c>
    </row>
    <row r="453" spans="1:12" s="184" customFormat="1">
      <c r="A453" s="141" t="s">
        <v>621</v>
      </c>
      <c r="B453" s="111" t="s">
        <v>140</v>
      </c>
      <c r="C453" s="111" t="s">
        <v>432</v>
      </c>
      <c r="D453" s="111" t="s">
        <v>483</v>
      </c>
      <c r="E453" s="111" t="s">
        <v>622</v>
      </c>
      <c r="F453" s="111"/>
      <c r="G453" s="112">
        <f>G454</f>
        <v>31000</v>
      </c>
      <c r="H453" s="134">
        <f t="shared" si="208"/>
        <v>-16315.2</v>
      </c>
      <c r="I453" s="112">
        <f>I454</f>
        <v>14684.8</v>
      </c>
      <c r="J453" s="112">
        <f t="shared" ref="J453:J454" si="234">J454</f>
        <v>9558.5660000000007</v>
      </c>
      <c r="K453" s="112">
        <f>K454</f>
        <v>14684.8</v>
      </c>
      <c r="L453" s="112">
        <f t="shared" si="225"/>
        <v>100</v>
      </c>
    </row>
    <row r="454" spans="1:12" s="184" customFormat="1">
      <c r="A454" s="119" t="s">
        <v>301</v>
      </c>
      <c r="B454" s="120" t="s">
        <v>140</v>
      </c>
      <c r="C454" s="120" t="s">
        <v>432</v>
      </c>
      <c r="D454" s="120" t="s">
        <v>483</v>
      </c>
      <c r="E454" s="120" t="s">
        <v>622</v>
      </c>
      <c r="F454" s="120" t="s">
        <v>84</v>
      </c>
      <c r="G454" s="121">
        <f>G455</f>
        <v>31000</v>
      </c>
      <c r="H454" s="134">
        <f t="shared" si="208"/>
        <v>-16315.2</v>
      </c>
      <c r="I454" s="121">
        <f>I455</f>
        <v>14684.8</v>
      </c>
      <c r="J454" s="121">
        <f t="shared" si="234"/>
        <v>9558.5660000000007</v>
      </c>
      <c r="K454" s="121">
        <f>K455</f>
        <v>14684.8</v>
      </c>
      <c r="L454" s="121">
        <f t="shared" si="225"/>
        <v>100</v>
      </c>
    </row>
    <row r="455" spans="1:12" s="184" customFormat="1" ht="24">
      <c r="A455" s="119" t="s">
        <v>85</v>
      </c>
      <c r="B455" s="120" t="s">
        <v>140</v>
      </c>
      <c r="C455" s="120" t="s">
        <v>432</v>
      </c>
      <c r="D455" s="120" t="s">
        <v>483</v>
      </c>
      <c r="E455" s="120" t="s">
        <v>622</v>
      </c>
      <c r="F455" s="120" t="s">
        <v>86</v>
      </c>
      <c r="G455" s="121">
        <v>31000</v>
      </c>
      <c r="H455" s="134">
        <f t="shared" si="208"/>
        <v>-16315.2</v>
      </c>
      <c r="I455" s="121">
        <f>31000-0.5-6714.7-10000+400</f>
        <v>14684.8</v>
      </c>
      <c r="J455" s="121">
        <v>9558.5660000000007</v>
      </c>
      <c r="K455" s="121">
        <f>31000-0.5-6714.7-10000+400</f>
        <v>14684.8</v>
      </c>
      <c r="L455" s="121">
        <f t="shared" si="225"/>
        <v>100</v>
      </c>
    </row>
    <row r="456" spans="1:12" s="184" customFormat="1">
      <c r="A456" s="110" t="s">
        <v>623</v>
      </c>
      <c r="B456" s="111" t="s">
        <v>140</v>
      </c>
      <c r="C456" s="111" t="s">
        <v>432</v>
      </c>
      <c r="D456" s="111" t="s">
        <v>483</v>
      </c>
      <c r="E456" s="111" t="s">
        <v>624</v>
      </c>
      <c r="F456" s="111"/>
      <c r="G456" s="112">
        <f>G457</f>
        <v>2000</v>
      </c>
      <c r="H456" s="134">
        <f t="shared" si="208"/>
        <v>0</v>
      </c>
      <c r="I456" s="112">
        <f>I457</f>
        <v>2000</v>
      </c>
      <c r="J456" s="134">
        <f t="shared" ref="J456:J457" si="235">J457</f>
        <v>0</v>
      </c>
      <c r="K456" s="112">
        <f>K457</f>
        <v>2000</v>
      </c>
      <c r="L456" s="112">
        <f t="shared" si="225"/>
        <v>100</v>
      </c>
    </row>
    <row r="457" spans="1:12" s="184" customFormat="1">
      <c r="A457" s="119" t="s">
        <v>301</v>
      </c>
      <c r="B457" s="120" t="s">
        <v>140</v>
      </c>
      <c r="C457" s="120" t="s">
        <v>432</v>
      </c>
      <c r="D457" s="120" t="s">
        <v>483</v>
      </c>
      <c r="E457" s="120" t="s">
        <v>624</v>
      </c>
      <c r="F457" s="120" t="s">
        <v>84</v>
      </c>
      <c r="G457" s="121">
        <f>G458</f>
        <v>2000</v>
      </c>
      <c r="H457" s="134">
        <f t="shared" si="208"/>
        <v>0</v>
      </c>
      <c r="I457" s="121">
        <f>I458</f>
        <v>2000</v>
      </c>
      <c r="J457" s="135">
        <f t="shared" si="235"/>
        <v>0</v>
      </c>
      <c r="K457" s="121">
        <f>K458</f>
        <v>2000</v>
      </c>
      <c r="L457" s="121">
        <f t="shared" si="225"/>
        <v>100</v>
      </c>
    </row>
    <row r="458" spans="1:12" s="184" customFormat="1" ht="24">
      <c r="A458" s="119" t="s">
        <v>85</v>
      </c>
      <c r="B458" s="120" t="s">
        <v>140</v>
      </c>
      <c r="C458" s="120" t="s">
        <v>432</v>
      </c>
      <c r="D458" s="120" t="s">
        <v>483</v>
      </c>
      <c r="E458" s="120" t="s">
        <v>624</v>
      </c>
      <c r="F458" s="120" t="s">
        <v>86</v>
      </c>
      <c r="G458" s="121">
        <v>2000</v>
      </c>
      <c r="H458" s="134">
        <f t="shared" si="208"/>
        <v>0</v>
      </c>
      <c r="I458" s="121">
        <f>2000</f>
        <v>2000</v>
      </c>
      <c r="J458" s="135">
        <v>0</v>
      </c>
      <c r="K458" s="121">
        <f>2000</f>
        <v>2000</v>
      </c>
      <c r="L458" s="121">
        <f t="shared" si="225"/>
        <v>100</v>
      </c>
    </row>
    <row r="459" spans="1:12" s="184" customFormat="1">
      <c r="A459" s="110" t="s">
        <v>625</v>
      </c>
      <c r="B459" s="111" t="s">
        <v>140</v>
      </c>
      <c r="C459" s="111" t="s">
        <v>432</v>
      </c>
      <c r="D459" s="111" t="s">
        <v>483</v>
      </c>
      <c r="E459" s="111" t="s">
        <v>626</v>
      </c>
      <c r="F459" s="111"/>
      <c r="G459" s="112">
        <f>G460</f>
        <v>1000</v>
      </c>
      <c r="H459" s="134">
        <f t="shared" si="208"/>
        <v>-1000</v>
      </c>
      <c r="I459" s="134">
        <f>I460</f>
        <v>0</v>
      </c>
      <c r="J459" s="134">
        <f t="shared" ref="J459:J460" si="236">J460</f>
        <v>0</v>
      </c>
      <c r="K459" s="134">
        <f>K460</f>
        <v>0</v>
      </c>
      <c r="L459" s="112"/>
    </row>
    <row r="460" spans="1:12" s="184" customFormat="1">
      <c r="A460" s="119" t="s">
        <v>301</v>
      </c>
      <c r="B460" s="120" t="s">
        <v>140</v>
      </c>
      <c r="C460" s="120" t="s">
        <v>432</v>
      </c>
      <c r="D460" s="120" t="s">
        <v>483</v>
      </c>
      <c r="E460" s="120" t="s">
        <v>626</v>
      </c>
      <c r="F460" s="120" t="s">
        <v>84</v>
      </c>
      <c r="G460" s="121">
        <f>G461</f>
        <v>1000</v>
      </c>
      <c r="H460" s="134">
        <f t="shared" si="208"/>
        <v>-1000</v>
      </c>
      <c r="I460" s="135">
        <f>I461</f>
        <v>0</v>
      </c>
      <c r="J460" s="135">
        <f t="shared" si="236"/>
        <v>0</v>
      </c>
      <c r="K460" s="135">
        <f>K461</f>
        <v>0</v>
      </c>
      <c r="L460" s="112"/>
    </row>
    <row r="461" spans="1:12" s="184" customFormat="1" ht="24">
      <c r="A461" s="119" t="s">
        <v>85</v>
      </c>
      <c r="B461" s="120" t="s">
        <v>140</v>
      </c>
      <c r="C461" s="120" t="s">
        <v>432</v>
      </c>
      <c r="D461" s="120" t="s">
        <v>483</v>
      </c>
      <c r="E461" s="120" t="s">
        <v>626</v>
      </c>
      <c r="F461" s="120" t="s">
        <v>86</v>
      </c>
      <c r="G461" s="121">
        <v>1000</v>
      </c>
      <c r="H461" s="134">
        <f t="shared" si="208"/>
        <v>-1000</v>
      </c>
      <c r="I461" s="135">
        <f>1000-1000</f>
        <v>0</v>
      </c>
      <c r="J461" s="135">
        <f t="shared" ref="J461" si="237">1000-1000</f>
        <v>0</v>
      </c>
      <c r="K461" s="135">
        <f>1000-1000</f>
        <v>0</v>
      </c>
      <c r="L461" s="112"/>
    </row>
    <row r="462" spans="1:12" s="184" customFormat="1">
      <c r="A462" s="141" t="s">
        <v>349</v>
      </c>
      <c r="B462" s="111" t="s">
        <v>140</v>
      </c>
      <c r="C462" s="111" t="s">
        <v>432</v>
      </c>
      <c r="D462" s="111" t="s">
        <v>483</v>
      </c>
      <c r="E462" s="111" t="s">
        <v>627</v>
      </c>
      <c r="F462" s="111"/>
      <c r="G462" s="112">
        <f>G463</f>
        <v>2000</v>
      </c>
      <c r="H462" s="134">
        <f t="shared" si="208"/>
        <v>-1000</v>
      </c>
      <c r="I462" s="112">
        <f>I463</f>
        <v>1000</v>
      </c>
      <c r="J462" s="112">
        <f t="shared" ref="J462:J463" si="238">J463</f>
        <v>274.82</v>
      </c>
      <c r="K462" s="112">
        <f>K463</f>
        <v>1000</v>
      </c>
      <c r="L462" s="112">
        <f t="shared" si="225"/>
        <v>100</v>
      </c>
    </row>
    <row r="463" spans="1:12" s="184" customFormat="1">
      <c r="A463" s="119" t="s">
        <v>301</v>
      </c>
      <c r="B463" s="120" t="s">
        <v>140</v>
      </c>
      <c r="C463" s="120" t="s">
        <v>432</v>
      </c>
      <c r="D463" s="120" t="s">
        <v>483</v>
      </c>
      <c r="E463" s="120" t="s">
        <v>627</v>
      </c>
      <c r="F463" s="120" t="s">
        <v>84</v>
      </c>
      <c r="G463" s="121">
        <f>G464</f>
        <v>2000</v>
      </c>
      <c r="H463" s="134">
        <f t="shared" si="208"/>
        <v>-1000</v>
      </c>
      <c r="I463" s="121">
        <f>I464</f>
        <v>1000</v>
      </c>
      <c r="J463" s="121">
        <f t="shared" si="238"/>
        <v>274.82</v>
      </c>
      <c r="K463" s="121">
        <f>K464</f>
        <v>1000</v>
      </c>
      <c r="L463" s="121">
        <f t="shared" si="225"/>
        <v>100</v>
      </c>
    </row>
    <row r="464" spans="1:12" s="184" customFormat="1" ht="24">
      <c r="A464" s="119" t="s">
        <v>85</v>
      </c>
      <c r="B464" s="120" t="s">
        <v>140</v>
      </c>
      <c r="C464" s="120" t="s">
        <v>432</v>
      </c>
      <c r="D464" s="120" t="s">
        <v>483</v>
      </c>
      <c r="E464" s="120" t="s">
        <v>627</v>
      </c>
      <c r="F464" s="120" t="s">
        <v>86</v>
      </c>
      <c r="G464" s="121">
        <v>2000</v>
      </c>
      <c r="H464" s="134">
        <f t="shared" si="208"/>
        <v>-1000</v>
      </c>
      <c r="I464" s="121">
        <f>2000-1000</f>
        <v>1000</v>
      </c>
      <c r="J464" s="121">
        <v>274.82</v>
      </c>
      <c r="K464" s="121">
        <f>2000-1000</f>
        <v>1000</v>
      </c>
      <c r="L464" s="121">
        <f t="shared" si="225"/>
        <v>100</v>
      </c>
    </row>
    <row r="465" spans="1:12" s="184" customFormat="1">
      <c r="A465" s="110" t="s">
        <v>350</v>
      </c>
      <c r="B465" s="111" t="s">
        <v>140</v>
      </c>
      <c r="C465" s="111" t="s">
        <v>432</v>
      </c>
      <c r="D465" s="111" t="s">
        <v>483</v>
      </c>
      <c r="E465" s="111" t="s">
        <v>628</v>
      </c>
      <c r="F465" s="111"/>
      <c r="G465" s="112">
        <f>G466</f>
        <v>2000</v>
      </c>
      <c r="H465" s="134">
        <f t="shared" si="208"/>
        <v>0</v>
      </c>
      <c r="I465" s="112">
        <f>I466</f>
        <v>2000</v>
      </c>
      <c r="J465" s="112">
        <f t="shared" ref="J465:J466" si="239">J466</f>
        <v>302.53399999999999</v>
      </c>
      <c r="K465" s="112">
        <f>K466</f>
        <v>2000</v>
      </c>
      <c r="L465" s="112">
        <f t="shared" si="225"/>
        <v>100</v>
      </c>
    </row>
    <row r="466" spans="1:12" s="184" customFormat="1">
      <c r="A466" s="119" t="s">
        <v>301</v>
      </c>
      <c r="B466" s="120" t="s">
        <v>140</v>
      </c>
      <c r="C466" s="120" t="s">
        <v>432</v>
      </c>
      <c r="D466" s="120" t="s">
        <v>483</v>
      </c>
      <c r="E466" s="120" t="s">
        <v>628</v>
      </c>
      <c r="F466" s="120" t="s">
        <v>84</v>
      </c>
      <c r="G466" s="121">
        <f>G467</f>
        <v>2000</v>
      </c>
      <c r="H466" s="134">
        <f t="shared" si="208"/>
        <v>0</v>
      </c>
      <c r="I466" s="121">
        <f>I467</f>
        <v>2000</v>
      </c>
      <c r="J466" s="121">
        <f t="shared" si="239"/>
        <v>302.53399999999999</v>
      </c>
      <c r="K466" s="121">
        <f>K467</f>
        <v>2000</v>
      </c>
      <c r="L466" s="121">
        <f t="shared" si="225"/>
        <v>100</v>
      </c>
    </row>
    <row r="467" spans="1:12" s="184" customFormat="1" ht="24">
      <c r="A467" s="119" t="s">
        <v>85</v>
      </c>
      <c r="B467" s="120" t="s">
        <v>140</v>
      </c>
      <c r="C467" s="120" t="s">
        <v>432</v>
      </c>
      <c r="D467" s="120" t="s">
        <v>483</v>
      </c>
      <c r="E467" s="120" t="s">
        <v>628</v>
      </c>
      <c r="F467" s="120" t="s">
        <v>86</v>
      </c>
      <c r="G467" s="121">
        <v>2000</v>
      </c>
      <c r="H467" s="134">
        <f t="shared" si="208"/>
        <v>0</v>
      </c>
      <c r="I467" s="121">
        <v>2000</v>
      </c>
      <c r="J467" s="121">
        <v>302.53399999999999</v>
      </c>
      <c r="K467" s="121">
        <v>2000</v>
      </c>
      <c r="L467" s="121">
        <f t="shared" si="225"/>
        <v>100</v>
      </c>
    </row>
    <row r="468" spans="1:12" s="184" customFormat="1" ht="24">
      <c r="A468" s="141" t="s">
        <v>337</v>
      </c>
      <c r="B468" s="111" t="s">
        <v>140</v>
      </c>
      <c r="C468" s="111" t="s">
        <v>432</v>
      </c>
      <c r="D468" s="111" t="s">
        <v>483</v>
      </c>
      <c r="E468" s="111" t="s">
        <v>629</v>
      </c>
      <c r="F468" s="111"/>
      <c r="G468" s="112">
        <f>G469</f>
        <v>2000</v>
      </c>
      <c r="H468" s="134">
        <f t="shared" si="208"/>
        <v>0</v>
      </c>
      <c r="I468" s="112">
        <f>I469</f>
        <v>2000</v>
      </c>
      <c r="J468" s="112">
        <f t="shared" ref="J468:J469" si="240">J469</f>
        <v>1998.9490000000001</v>
      </c>
      <c r="K468" s="112">
        <f>K469</f>
        <v>2000</v>
      </c>
      <c r="L468" s="112">
        <f t="shared" si="225"/>
        <v>100</v>
      </c>
    </row>
    <row r="469" spans="1:12" s="184" customFormat="1">
      <c r="A469" s="119" t="s">
        <v>301</v>
      </c>
      <c r="B469" s="120" t="s">
        <v>140</v>
      </c>
      <c r="C469" s="120" t="s">
        <v>432</v>
      </c>
      <c r="D469" s="120" t="s">
        <v>483</v>
      </c>
      <c r="E469" s="120" t="s">
        <v>629</v>
      </c>
      <c r="F469" s="120" t="s">
        <v>84</v>
      </c>
      <c r="G469" s="121">
        <f>G470</f>
        <v>2000</v>
      </c>
      <c r="H469" s="134">
        <f t="shared" si="208"/>
        <v>0</v>
      </c>
      <c r="I469" s="121">
        <f>I470</f>
        <v>2000</v>
      </c>
      <c r="J469" s="121">
        <f t="shared" si="240"/>
        <v>1998.9490000000001</v>
      </c>
      <c r="K469" s="121">
        <f>K470</f>
        <v>2000</v>
      </c>
      <c r="L469" s="112">
        <f t="shared" si="225"/>
        <v>100</v>
      </c>
    </row>
    <row r="470" spans="1:12" s="184" customFormat="1" ht="24">
      <c r="A470" s="119" t="s">
        <v>85</v>
      </c>
      <c r="B470" s="120" t="s">
        <v>140</v>
      </c>
      <c r="C470" s="120" t="s">
        <v>432</v>
      </c>
      <c r="D470" s="120" t="s">
        <v>483</v>
      </c>
      <c r="E470" s="120" t="s">
        <v>629</v>
      </c>
      <c r="F470" s="120" t="s">
        <v>86</v>
      </c>
      <c r="G470" s="121">
        <v>2000</v>
      </c>
      <c r="H470" s="134">
        <f t="shared" si="208"/>
        <v>0</v>
      </c>
      <c r="I470" s="121">
        <v>2000</v>
      </c>
      <c r="J470" s="121">
        <v>1998.9490000000001</v>
      </c>
      <c r="K470" s="121">
        <v>2000</v>
      </c>
      <c r="L470" s="121">
        <f t="shared" si="225"/>
        <v>100</v>
      </c>
    </row>
    <row r="471" spans="1:12" s="184" customFormat="1" ht="24">
      <c r="A471" s="141" t="s">
        <v>338</v>
      </c>
      <c r="B471" s="111" t="s">
        <v>140</v>
      </c>
      <c r="C471" s="111" t="s">
        <v>432</v>
      </c>
      <c r="D471" s="111" t="s">
        <v>483</v>
      </c>
      <c r="E471" s="150" t="s">
        <v>630</v>
      </c>
      <c r="F471" s="150"/>
      <c r="G471" s="112">
        <f>G472</f>
        <v>2000</v>
      </c>
      <c r="H471" s="134">
        <f t="shared" si="208"/>
        <v>-800</v>
      </c>
      <c r="I471" s="112">
        <f>I472</f>
        <v>1200</v>
      </c>
      <c r="J471" s="112">
        <f t="shared" ref="J471:J472" si="241">J472</f>
        <v>599.16</v>
      </c>
      <c r="K471" s="112">
        <f>K472</f>
        <v>1200</v>
      </c>
      <c r="L471" s="112">
        <f t="shared" si="225"/>
        <v>100</v>
      </c>
    </row>
    <row r="472" spans="1:12" s="184" customFormat="1">
      <c r="A472" s="119" t="s">
        <v>161</v>
      </c>
      <c r="B472" s="120" t="s">
        <v>140</v>
      </c>
      <c r="C472" s="120" t="s">
        <v>432</v>
      </c>
      <c r="D472" s="120" t="s">
        <v>483</v>
      </c>
      <c r="E472" s="137" t="s">
        <v>630</v>
      </c>
      <c r="F472" s="120" t="s">
        <v>84</v>
      </c>
      <c r="G472" s="121">
        <f>G473</f>
        <v>2000</v>
      </c>
      <c r="H472" s="134">
        <f t="shared" si="208"/>
        <v>-800</v>
      </c>
      <c r="I472" s="121">
        <f>I473</f>
        <v>1200</v>
      </c>
      <c r="J472" s="121">
        <f t="shared" si="241"/>
        <v>599.16</v>
      </c>
      <c r="K472" s="121">
        <f>K473</f>
        <v>1200</v>
      </c>
      <c r="L472" s="121">
        <f t="shared" si="225"/>
        <v>100</v>
      </c>
    </row>
    <row r="473" spans="1:12" s="184" customFormat="1" ht="24">
      <c r="A473" s="119" t="s">
        <v>85</v>
      </c>
      <c r="B473" s="120" t="s">
        <v>140</v>
      </c>
      <c r="C473" s="120" t="s">
        <v>432</v>
      </c>
      <c r="D473" s="120" t="s">
        <v>483</v>
      </c>
      <c r="E473" s="137" t="s">
        <v>630</v>
      </c>
      <c r="F473" s="120" t="s">
        <v>86</v>
      </c>
      <c r="G473" s="121">
        <v>2000</v>
      </c>
      <c r="H473" s="134">
        <f t="shared" si="208"/>
        <v>-800</v>
      </c>
      <c r="I473" s="121">
        <f>2000-800</f>
        <v>1200</v>
      </c>
      <c r="J473" s="121">
        <v>599.16</v>
      </c>
      <c r="K473" s="121">
        <f>2000-800</f>
        <v>1200</v>
      </c>
      <c r="L473" s="121">
        <f t="shared" si="225"/>
        <v>100</v>
      </c>
    </row>
    <row r="474" spans="1:12" s="184" customFormat="1">
      <c r="A474" s="110" t="s">
        <v>241</v>
      </c>
      <c r="B474" s="111" t="s">
        <v>140</v>
      </c>
      <c r="C474" s="111" t="s">
        <v>432</v>
      </c>
      <c r="D474" s="111" t="s">
        <v>483</v>
      </c>
      <c r="E474" s="111" t="s">
        <v>631</v>
      </c>
      <c r="F474" s="111"/>
      <c r="G474" s="112">
        <f>G475</f>
        <v>80000</v>
      </c>
      <c r="H474" s="134">
        <f t="shared" si="208"/>
        <v>2362</v>
      </c>
      <c r="I474" s="112">
        <f>I475</f>
        <v>82362</v>
      </c>
      <c r="J474" s="112">
        <f t="shared" ref="J474:J475" si="242">J475</f>
        <v>70817.471999999994</v>
      </c>
      <c r="K474" s="112">
        <f>K475</f>
        <v>82362</v>
      </c>
      <c r="L474" s="112">
        <f t="shared" si="225"/>
        <v>100</v>
      </c>
    </row>
    <row r="475" spans="1:12" s="184" customFormat="1">
      <c r="A475" s="119" t="s">
        <v>301</v>
      </c>
      <c r="B475" s="120" t="s">
        <v>140</v>
      </c>
      <c r="C475" s="120" t="s">
        <v>432</v>
      </c>
      <c r="D475" s="120" t="s">
        <v>483</v>
      </c>
      <c r="E475" s="120" t="s">
        <v>631</v>
      </c>
      <c r="F475" s="120" t="s">
        <v>84</v>
      </c>
      <c r="G475" s="121">
        <f>G476</f>
        <v>80000</v>
      </c>
      <c r="H475" s="134">
        <f t="shared" si="208"/>
        <v>2362</v>
      </c>
      <c r="I475" s="121">
        <f>I476</f>
        <v>82362</v>
      </c>
      <c r="J475" s="121">
        <f t="shared" si="242"/>
        <v>70817.471999999994</v>
      </c>
      <c r="K475" s="121">
        <f>K476</f>
        <v>82362</v>
      </c>
      <c r="L475" s="121">
        <f t="shared" si="225"/>
        <v>100</v>
      </c>
    </row>
    <row r="476" spans="1:12" s="184" customFormat="1" ht="24">
      <c r="A476" s="119" t="s">
        <v>85</v>
      </c>
      <c r="B476" s="120" t="s">
        <v>140</v>
      </c>
      <c r="C476" s="120" t="s">
        <v>432</v>
      </c>
      <c r="D476" s="120" t="s">
        <v>483</v>
      </c>
      <c r="E476" s="120" t="s">
        <v>631</v>
      </c>
      <c r="F476" s="120" t="s">
        <v>86</v>
      </c>
      <c r="G476" s="121">
        <v>80000</v>
      </c>
      <c r="H476" s="134">
        <f t="shared" si="208"/>
        <v>2362</v>
      </c>
      <c r="I476" s="121">
        <f>80000+1400+962</f>
        <v>82362</v>
      </c>
      <c r="J476" s="121">
        <v>70817.471999999994</v>
      </c>
      <c r="K476" s="121">
        <f>80000+1400+962</f>
        <v>82362</v>
      </c>
      <c r="L476" s="121">
        <f t="shared" si="225"/>
        <v>100</v>
      </c>
    </row>
    <row r="477" spans="1:12" s="184" customFormat="1">
      <c r="A477" s="110" t="s">
        <v>339</v>
      </c>
      <c r="B477" s="111" t="s">
        <v>140</v>
      </c>
      <c r="C477" s="111" t="s">
        <v>432</v>
      </c>
      <c r="D477" s="111" t="s">
        <v>483</v>
      </c>
      <c r="E477" s="111" t="s">
        <v>632</v>
      </c>
      <c r="F477" s="111"/>
      <c r="G477" s="112">
        <f>G478</f>
        <v>26161</v>
      </c>
      <c r="H477" s="134">
        <f t="shared" ref="H477:H567" si="243">I477-G477</f>
        <v>0</v>
      </c>
      <c r="I477" s="112">
        <f>I478</f>
        <v>26161</v>
      </c>
      <c r="J477" s="112">
        <f t="shared" ref="J477:J478" si="244">J478</f>
        <v>25545.143</v>
      </c>
      <c r="K477" s="112">
        <f>K478</f>
        <v>26161</v>
      </c>
      <c r="L477" s="112">
        <f t="shared" si="225"/>
        <v>100</v>
      </c>
    </row>
    <row r="478" spans="1:12" s="184" customFormat="1">
      <c r="A478" s="119" t="s">
        <v>301</v>
      </c>
      <c r="B478" s="120" t="s">
        <v>140</v>
      </c>
      <c r="C478" s="120" t="s">
        <v>432</v>
      </c>
      <c r="D478" s="120" t="s">
        <v>483</v>
      </c>
      <c r="E478" s="120" t="s">
        <v>632</v>
      </c>
      <c r="F478" s="120" t="s">
        <v>84</v>
      </c>
      <c r="G478" s="121">
        <f>G479</f>
        <v>26161</v>
      </c>
      <c r="H478" s="134">
        <f t="shared" si="243"/>
        <v>0</v>
      </c>
      <c r="I478" s="121">
        <f>I479</f>
        <v>26161</v>
      </c>
      <c r="J478" s="121">
        <f t="shared" si="244"/>
        <v>25545.143</v>
      </c>
      <c r="K478" s="121">
        <f>K479</f>
        <v>26161</v>
      </c>
      <c r="L478" s="121">
        <f t="shared" si="225"/>
        <v>100</v>
      </c>
    </row>
    <row r="479" spans="1:12" s="184" customFormat="1" ht="24">
      <c r="A479" s="119" t="s">
        <v>85</v>
      </c>
      <c r="B479" s="120" t="s">
        <v>140</v>
      </c>
      <c r="C479" s="120" t="s">
        <v>432</v>
      </c>
      <c r="D479" s="120" t="s">
        <v>483</v>
      </c>
      <c r="E479" s="120" t="s">
        <v>632</v>
      </c>
      <c r="F479" s="120" t="s">
        <v>86</v>
      </c>
      <c r="G479" s="121">
        <v>26161</v>
      </c>
      <c r="H479" s="134">
        <f t="shared" si="243"/>
        <v>0</v>
      </c>
      <c r="I479" s="121">
        <v>26161</v>
      </c>
      <c r="J479" s="121">
        <v>25545.143</v>
      </c>
      <c r="K479" s="121">
        <v>26161</v>
      </c>
      <c r="L479" s="121">
        <f t="shared" si="225"/>
        <v>100</v>
      </c>
    </row>
    <row r="480" spans="1:12" s="184" customFormat="1" ht="24">
      <c r="A480" s="110" t="s">
        <v>260</v>
      </c>
      <c r="B480" s="111" t="s">
        <v>140</v>
      </c>
      <c r="C480" s="111" t="s">
        <v>432</v>
      </c>
      <c r="D480" s="111" t="s">
        <v>483</v>
      </c>
      <c r="E480" s="111" t="s">
        <v>633</v>
      </c>
      <c r="F480" s="111"/>
      <c r="G480" s="112">
        <f>G481</f>
        <v>171000</v>
      </c>
      <c r="H480" s="134">
        <f t="shared" si="243"/>
        <v>34791.196999999986</v>
      </c>
      <c r="I480" s="112">
        <f>I481</f>
        <v>205791.19699999999</v>
      </c>
      <c r="J480" s="112">
        <f t="shared" ref="J480:J481" si="245">J481</f>
        <v>168456.51500000001</v>
      </c>
      <c r="K480" s="112">
        <f>K481</f>
        <v>203097.20699999999</v>
      </c>
      <c r="L480" s="112">
        <f t="shared" si="225"/>
        <v>98.69091096253257</v>
      </c>
    </row>
    <row r="481" spans="1:12" s="184" customFormat="1" ht="24">
      <c r="A481" s="119" t="s">
        <v>104</v>
      </c>
      <c r="B481" s="120" t="s">
        <v>140</v>
      </c>
      <c r="C481" s="120" t="s">
        <v>432</v>
      </c>
      <c r="D481" s="120" t="s">
        <v>483</v>
      </c>
      <c r="E481" s="120" t="s">
        <v>633</v>
      </c>
      <c r="F481" s="120" t="s">
        <v>408</v>
      </c>
      <c r="G481" s="121">
        <f>G482</f>
        <v>171000</v>
      </c>
      <c r="H481" s="135">
        <f t="shared" si="243"/>
        <v>34791.196999999986</v>
      </c>
      <c r="I481" s="121">
        <f>I482</f>
        <v>205791.19699999999</v>
      </c>
      <c r="J481" s="121">
        <f t="shared" si="245"/>
        <v>168456.51500000001</v>
      </c>
      <c r="K481" s="121">
        <f>K482</f>
        <v>203097.20699999999</v>
      </c>
      <c r="L481" s="121">
        <f t="shared" si="225"/>
        <v>98.69091096253257</v>
      </c>
    </row>
    <row r="482" spans="1:12" s="184" customFormat="1">
      <c r="A482" s="119" t="s">
        <v>105</v>
      </c>
      <c r="B482" s="120" t="s">
        <v>140</v>
      </c>
      <c r="C482" s="120" t="s">
        <v>432</v>
      </c>
      <c r="D482" s="120" t="s">
        <v>483</v>
      </c>
      <c r="E482" s="120" t="s">
        <v>633</v>
      </c>
      <c r="F482" s="120" t="s">
        <v>425</v>
      </c>
      <c r="G482" s="121">
        <f>164000+7000</f>
        <v>171000</v>
      </c>
      <c r="H482" s="135">
        <f t="shared" si="243"/>
        <v>34791.196999999986</v>
      </c>
      <c r="I482" s="121">
        <f>164000+7000+37000-2208.803</f>
        <v>205791.19699999999</v>
      </c>
      <c r="J482" s="121">
        <v>168456.51500000001</v>
      </c>
      <c r="K482" s="121">
        <f>164000+7000+37000-2208.803-2693.99</f>
        <v>203097.20699999999</v>
      </c>
      <c r="L482" s="121">
        <f t="shared" si="225"/>
        <v>98.69091096253257</v>
      </c>
    </row>
    <row r="483" spans="1:12" s="184" customFormat="1" ht="24">
      <c r="A483" s="110" t="s">
        <v>249</v>
      </c>
      <c r="B483" s="111" t="s">
        <v>140</v>
      </c>
      <c r="C483" s="111" t="s">
        <v>432</v>
      </c>
      <c r="D483" s="111" t="s">
        <v>483</v>
      </c>
      <c r="E483" s="111" t="s">
        <v>634</v>
      </c>
      <c r="F483" s="111"/>
      <c r="G483" s="134">
        <f>G484</f>
        <v>48922</v>
      </c>
      <c r="H483" s="134">
        <f t="shared" si="243"/>
        <v>-37000</v>
      </c>
      <c r="I483" s="134">
        <f>I484</f>
        <v>11922</v>
      </c>
      <c r="J483" s="134">
        <f t="shared" ref="J483:J484" si="246">J484</f>
        <v>11810.145</v>
      </c>
      <c r="K483" s="134">
        <f>K484</f>
        <v>11922</v>
      </c>
      <c r="L483" s="112">
        <f t="shared" si="225"/>
        <v>100</v>
      </c>
    </row>
    <row r="484" spans="1:12" s="184" customFormat="1">
      <c r="A484" s="119" t="s">
        <v>301</v>
      </c>
      <c r="B484" s="120" t="s">
        <v>140</v>
      </c>
      <c r="C484" s="120" t="s">
        <v>432</v>
      </c>
      <c r="D484" s="120" t="s">
        <v>483</v>
      </c>
      <c r="E484" s="120" t="s">
        <v>634</v>
      </c>
      <c r="F484" s="120" t="s">
        <v>84</v>
      </c>
      <c r="G484" s="135">
        <f>G485</f>
        <v>48922</v>
      </c>
      <c r="H484" s="135">
        <f t="shared" si="243"/>
        <v>-37000</v>
      </c>
      <c r="I484" s="135">
        <f>I485</f>
        <v>11922</v>
      </c>
      <c r="J484" s="135">
        <f t="shared" si="246"/>
        <v>11810.145</v>
      </c>
      <c r="K484" s="135">
        <f>K485</f>
        <v>11922</v>
      </c>
      <c r="L484" s="121">
        <f t="shared" si="225"/>
        <v>100</v>
      </c>
    </row>
    <row r="485" spans="1:12" s="184" customFormat="1" ht="24">
      <c r="A485" s="119" t="s">
        <v>85</v>
      </c>
      <c r="B485" s="120" t="s">
        <v>140</v>
      </c>
      <c r="C485" s="120" t="s">
        <v>432</v>
      </c>
      <c r="D485" s="120" t="s">
        <v>483</v>
      </c>
      <c r="E485" s="120" t="s">
        <v>634</v>
      </c>
      <c r="F485" s="120" t="s">
        <v>86</v>
      </c>
      <c r="G485" s="135">
        <v>48922</v>
      </c>
      <c r="H485" s="135">
        <f t="shared" si="243"/>
        <v>-37000</v>
      </c>
      <c r="I485" s="135">
        <f>48922-37000</f>
        <v>11922</v>
      </c>
      <c r="J485" s="135">
        <v>11810.145</v>
      </c>
      <c r="K485" s="135">
        <f>48922-37000</f>
        <v>11922</v>
      </c>
      <c r="L485" s="121">
        <f t="shared" si="225"/>
        <v>100</v>
      </c>
    </row>
    <row r="486" spans="1:12" s="184" customFormat="1" ht="40.5">
      <c r="A486" s="123" t="s">
        <v>635</v>
      </c>
      <c r="B486" s="114" t="s">
        <v>140</v>
      </c>
      <c r="C486" s="114" t="s">
        <v>432</v>
      </c>
      <c r="D486" s="114" t="s">
        <v>483</v>
      </c>
      <c r="E486" s="149" t="s">
        <v>495</v>
      </c>
      <c r="F486" s="114"/>
      <c r="G486" s="162">
        <f>G490</f>
        <v>8000</v>
      </c>
      <c r="H486" s="134">
        <f t="shared" si="243"/>
        <v>85917.979800000001</v>
      </c>
      <c r="I486" s="162">
        <f>I490+I487</f>
        <v>93917.979800000001</v>
      </c>
      <c r="J486" s="162">
        <f t="shared" ref="J486" si="247">J490+J487</f>
        <v>72135.904999999999</v>
      </c>
      <c r="K486" s="162">
        <f>K490+K487</f>
        <v>93917.979800000001</v>
      </c>
      <c r="L486" s="115">
        <f t="shared" si="225"/>
        <v>100</v>
      </c>
    </row>
    <row r="487" spans="1:12" s="184" customFormat="1" ht="13.5">
      <c r="A487" s="110" t="s">
        <v>737</v>
      </c>
      <c r="B487" s="111" t="s">
        <v>140</v>
      </c>
      <c r="C487" s="111" t="s">
        <v>432</v>
      </c>
      <c r="D487" s="111" t="s">
        <v>483</v>
      </c>
      <c r="E487" s="142" t="s">
        <v>738</v>
      </c>
      <c r="F487" s="111"/>
      <c r="G487" s="162"/>
      <c r="H487" s="134"/>
      <c r="I487" s="134">
        <f>I488</f>
        <v>85917.979800000001</v>
      </c>
      <c r="J487" s="134">
        <f t="shared" ref="J487:J488" si="248">J488</f>
        <v>67457.279999999999</v>
      </c>
      <c r="K487" s="134">
        <f>K488</f>
        <v>85917.979800000001</v>
      </c>
      <c r="L487" s="112">
        <f t="shared" si="225"/>
        <v>100</v>
      </c>
    </row>
    <row r="488" spans="1:12" s="184" customFormat="1" ht="13.5">
      <c r="A488" s="119" t="s">
        <v>301</v>
      </c>
      <c r="B488" s="120" t="s">
        <v>140</v>
      </c>
      <c r="C488" s="120" t="s">
        <v>432</v>
      </c>
      <c r="D488" s="120" t="s">
        <v>483</v>
      </c>
      <c r="E488" s="130" t="s">
        <v>738</v>
      </c>
      <c r="F488" s="120" t="s">
        <v>84</v>
      </c>
      <c r="G488" s="162"/>
      <c r="H488" s="134"/>
      <c r="I488" s="135">
        <f>I489</f>
        <v>85917.979800000001</v>
      </c>
      <c r="J488" s="135">
        <f t="shared" si="248"/>
        <v>67457.279999999999</v>
      </c>
      <c r="K488" s="135">
        <f>K489</f>
        <v>85917.979800000001</v>
      </c>
      <c r="L488" s="121">
        <f t="shared" si="225"/>
        <v>100</v>
      </c>
    </row>
    <row r="489" spans="1:12" s="184" customFormat="1" ht="24">
      <c r="A489" s="119" t="s">
        <v>85</v>
      </c>
      <c r="B489" s="120" t="s">
        <v>140</v>
      </c>
      <c r="C489" s="120" t="s">
        <v>432</v>
      </c>
      <c r="D489" s="120" t="s">
        <v>483</v>
      </c>
      <c r="E489" s="130" t="s">
        <v>738</v>
      </c>
      <c r="F489" s="120" t="s">
        <v>86</v>
      </c>
      <c r="G489" s="162"/>
      <c r="H489" s="134"/>
      <c r="I489" s="135">
        <v>85917.979800000001</v>
      </c>
      <c r="J489" s="135">
        <v>67457.279999999999</v>
      </c>
      <c r="K489" s="135">
        <v>85917.979800000001</v>
      </c>
      <c r="L489" s="121">
        <f t="shared" si="225"/>
        <v>100</v>
      </c>
    </row>
    <row r="490" spans="1:12" s="184" customFormat="1" ht="24">
      <c r="A490" s="110" t="s">
        <v>45</v>
      </c>
      <c r="B490" s="111" t="s">
        <v>140</v>
      </c>
      <c r="C490" s="111" t="s">
        <v>432</v>
      </c>
      <c r="D490" s="111" t="s">
        <v>483</v>
      </c>
      <c r="E490" s="142" t="s">
        <v>618</v>
      </c>
      <c r="F490" s="111"/>
      <c r="G490" s="134">
        <f>G491</f>
        <v>8000</v>
      </c>
      <c r="H490" s="134">
        <f t="shared" si="243"/>
        <v>0</v>
      </c>
      <c r="I490" s="134">
        <f>I491</f>
        <v>8000</v>
      </c>
      <c r="J490" s="134">
        <f t="shared" ref="J490:J491" si="249">J491</f>
        <v>4678.625</v>
      </c>
      <c r="K490" s="134">
        <f>K491</f>
        <v>8000</v>
      </c>
      <c r="L490" s="112">
        <f t="shared" si="225"/>
        <v>100</v>
      </c>
    </row>
    <row r="491" spans="1:12" s="184" customFormat="1">
      <c r="A491" s="119" t="s">
        <v>301</v>
      </c>
      <c r="B491" s="120" t="s">
        <v>140</v>
      </c>
      <c r="C491" s="120" t="s">
        <v>432</v>
      </c>
      <c r="D491" s="120" t="s">
        <v>483</v>
      </c>
      <c r="E491" s="130" t="s">
        <v>618</v>
      </c>
      <c r="F491" s="120" t="s">
        <v>84</v>
      </c>
      <c r="G491" s="135">
        <f>G492</f>
        <v>8000</v>
      </c>
      <c r="H491" s="134">
        <f t="shared" si="243"/>
        <v>0</v>
      </c>
      <c r="I491" s="135">
        <f>I492</f>
        <v>8000</v>
      </c>
      <c r="J491" s="135">
        <f t="shared" si="249"/>
        <v>4678.625</v>
      </c>
      <c r="K491" s="135">
        <f>K492</f>
        <v>8000</v>
      </c>
      <c r="L491" s="121">
        <f t="shared" si="225"/>
        <v>100</v>
      </c>
    </row>
    <row r="492" spans="1:12" s="184" customFormat="1" ht="24">
      <c r="A492" s="119" t="s">
        <v>85</v>
      </c>
      <c r="B492" s="120" t="s">
        <v>140</v>
      </c>
      <c r="C492" s="120" t="s">
        <v>432</v>
      </c>
      <c r="D492" s="120" t="s">
        <v>483</v>
      </c>
      <c r="E492" s="130" t="s">
        <v>618</v>
      </c>
      <c r="F492" s="120" t="s">
        <v>86</v>
      </c>
      <c r="G492" s="135">
        <v>8000</v>
      </c>
      <c r="H492" s="134">
        <f t="shared" si="243"/>
        <v>0</v>
      </c>
      <c r="I492" s="135">
        <v>8000</v>
      </c>
      <c r="J492" s="135">
        <v>4678.625</v>
      </c>
      <c r="K492" s="135">
        <v>8000</v>
      </c>
      <c r="L492" s="121">
        <f t="shared" si="225"/>
        <v>100</v>
      </c>
    </row>
    <row r="493" spans="1:12" s="184" customFormat="1">
      <c r="A493" s="110" t="s">
        <v>380</v>
      </c>
      <c r="B493" s="111" t="s">
        <v>140</v>
      </c>
      <c r="C493" s="111" t="s">
        <v>432</v>
      </c>
      <c r="D493" s="111" t="s">
        <v>432</v>
      </c>
      <c r="E493" s="111"/>
      <c r="F493" s="111"/>
      <c r="G493" s="112">
        <f>G494</f>
        <v>6663</v>
      </c>
      <c r="H493" s="134">
        <f t="shared" si="243"/>
        <v>0</v>
      </c>
      <c r="I493" s="112">
        <f>I494</f>
        <v>6663</v>
      </c>
      <c r="J493" s="112">
        <f t="shared" ref="J493:J495" si="250">J494</f>
        <v>5385.2870000000003</v>
      </c>
      <c r="K493" s="112">
        <f>K494</f>
        <v>6663</v>
      </c>
      <c r="L493" s="112">
        <f t="shared" si="225"/>
        <v>100</v>
      </c>
    </row>
    <row r="494" spans="1:12" s="184" customFormat="1" ht="27">
      <c r="A494" s="123" t="s">
        <v>619</v>
      </c>
      <c r="B494" s="114" t="s">
        <v>140</v>
      </c>
      <c r="C494" s="114" t="s">
        <v>432</v>
      </c>
      <c r="D494" s="114" t="s">
        <v>432</v>
      </c>
      <c r="E494" s="114" t="s">
        <v>254</v>
      </c>
      <c r="F494" s="114"/>
      <c r="G494" s="115">
        <f>G495</f>
        <v>6663</v>
      </c>
      <c r="H494" s="134">
        <f t="shared" si="243"/>
        <v>0</v>
      </c>
      <c r="I494" s="115">
        <f>I495</f>
        <v>6663</v>
      </c>
      <c r="J494" s="115">
        <f t="shared" si="250"/>
        <v>5385.2870000000003</v>
      </c>
      <c r="K494" s="115">
        <f>K495</f>
        <v>6663</v>
      </c>
      <c r="L494" s="115">
        <f t="shared" si="225"/>
        <v>100</v>
      </c>
    </row>
    <row r="495" spans="1:12" s="184" customFormat="1" ht="24">
      <c r="A495" s="127" t="s">
        <v>341</v>
      </c>
      <c r="B495" s="111" t="s">
        <v>140</v>
      </c>
      <c r="C495" s="111" t="s">
        <v>432</v>
      </c>
      <c r="D495" s="111" t="s">
        <v>432</v>
      </c>
      <c r="E495" s="111" t="s">
        <v>254</v>
      </c>
      <c r="F495" s="111"/>
      <c r="G495" s="112">
        <f>G496</f>
        <v>6663</v>
      </c>
      <c r="H495" s="134">
        <f t="shared" si="243"/>
        <v>0</v>
      </c>
      <c r="I495" s="112">
        <f>I496</f>
        <v>6663</v>
      </c>
      <c r="J495" s="112">
        <f t="shared" si="250"/>
        <v>5385.2870000000003</v>
      </c>
      <c r="K495" s="112">
        <f>K496</f>
        <v>6663</v>
      </c>
      <c r="L495" s="112">
        <f t="shared" si="225"/>
        <v>100</v>
      </c>
    </row>
    <row r="496" spans="1:12" s="184" customFormat="1" ht="36">
      <c r="A496" s="124" t="s">
        <v>410</v>
      </c>
      <c r="B496" s="125" t="s">
        <v>140</v>
      </c>
      <c r="C496" s="125" t="s">
        <v>432</v>
      </c>
      <c r="D496" s="125" t="s">
        <v>432</v>
      </c>
      <c r="E496" s="125" t="s">
        <v>254</v>
      </c>
      <c r="F496" s="125"/>
      <c r="G496" s="126">
        <f>G497+G500</f>
        <v>6663</v>
      </c>
      <c r="H496" s="134">
        <f t="shared" si="243"/>
        <v>0</v>
      </c>
      <c r="I496" s="126">
        <f>I497+I500</f>
        <v>6663</v>
      </c>
      <c r="J496" s="126">
        <f t="shared" ref="J496" si="251">J497+J500</f>
        <v>5385.2870000000003</v>
      </c>
      <c r="K496" s="126">
        <f>K497+K500</f>
        <v>6663</v>
      </c>
      <c r="L496" s="126">
        <f t="shared" si="225"/>
        <v>100</v>
      </c>
    </row>
    <row r="497" spans="1:12" s="184" customFormat="1" ht="24">
      <c r="A497" s="127" t="s">
        <v>392</v>
      </c>
      <c r="B497" s="111" t="s">
        <v>140</v>
      </c>
      <c r="C497" s="111" t="s">
        <v>432</v>
      </c>
      <c r="D497" s="111" t="s">
        <v>432</v>
      </c>
      <c r="E497" s="111" t="s">
        <v>342</v>
      </c>
      <c r="F497" s="111"/>
      <c r="G497" s="112">
        <f>G498</f>
        <v>6470</v>
      </c>
      <c r="H497" s="134">
        <f t="shared" si="243"/>
        <v>0</v>
      </c>
      <c r="I497" s="112">
        <f>I498</f>
        <v>6470</v>
      </c>
      <c r="J497" s="112">
        <f t="shared" ref="J497:J498" si="252">J498</f>
        <v>5224.5720000000001</v>
      </c>
      <c r="K497" s="112">
        <f>K498</f>
        <v>6470</v>
      </c>
      <c r="L497" s="112">
        <f t="shared" si="225"/>
        <v>100</v>
      </c>
    </row>
    <row r="498" spans="1:12" s="184" customFormat="1" ht="36">
      <c r="A498" s="119" t="s">
        <v>79</v>
      </c>
      <c r="B498" s="120" t="s">
        <v>140</v>
      </c>
      <c r="C498" s="120" t="s">
        <v>432</v>
      </c>
      <c r="D498" s="120" t="s">
        <v>432</v>
      </c>
      <c r="E498" s="120" t="s">
        <v>342</v>
      </c>
      <c r="F498" s="120" t="s">
        <v>80</v>
      </c>
      <c r="G498" s="121">
        <f>G499</f>
        <v>6470</v>
      </c>
      <c r="H498" s="134">
        <f t="shared" si="243"/>
        <v>0</v>
      </c>
      <c r="I498" s="121">
        <f>I499</f>
        <v>6470</v>
      </c>
      <c r="J498" s="121">
        <f t="shared" si="252"/>
        <v>5224.5720000000001</v>
      </c>
      <c r="K498" s="121">
        <f>K499</f>
        <v>6470</v>
      </c>
      <c r="L498" s="121">
        <f t="shared" si="225"/>
        <v>100</v>
      </c>
    </row>
    <row r="499" spans="1:12" s="184" customFormat="1">
      <c r="A499" s="119" t="s">
        <v>81</v>
      </c>
      <c r="B499" s="120" t="s">
        <v>140</v>
      </c>
      <c r="C499" s="120" t="s">
        <v>432</v>
      </c>
      <c r="D499" s="120" t="s">
        <v>432</v>
      </c>
      <c r="E499" s="120" t="s">
        <v>342</v>
      </c>
      <c r="F499" s="120" t="s">
        <v>82</v>
      </c>
      <c r="G499" s="121">
        <f>4970+1500</f>
        <v>6470</v>
      </c>
      <c r="H499" s="134">
        <f t="shared" si="243"/>
        <v>0</v>
      </c>
      <c r="I499" s="121">
        <f>4970+1500</f>
        <v>6470</v>
      </c>
      <c r="J499" s="121">
        <v>5224.5720000000001</v>
      </c>
      <c r="K499" s="121">
        <f>4970+1500</f>
        <v>6470</v>
      </c>
      <c r="L499" s="121">
        <f t="shared" si="225"/>
        <v>100</v>
      </c>
    </row>
    <row r="500" spans="1:12" s="184" customFormat="1">
      <c r="A500" s="110" t="s">
        <v>83</v>
      </c>
      <c r="B500" s="111" t="s">
        <v>140</v>
      </c>
      <c r="C500" s="111" t="s">
        <v>432</v>
      </c>
      <c r="D500" s="111" t="s">
        <v>432</v>
      </c>
      <c r="E500" s="111" t="s">
        <v>343</v>
      </c>
      <c r="F500" s="111"/>
      <c r="G500" s="112">
        <f>G501+G503</f>
        <v>193</v>
      </c>
      <c r="H500" s="134">
        <f t="shared" si="243"/>
        <v>0</v>
      </c>
      <c r="I500" s="112">
        <f>I501+I503</f>
        <v>193</v>
      </c>
      <c r="J500" s="112">
        <f t="shared" ref="J500" si="253">J501+J503</f>
        <v>160.715</v>
      </c>
      <c r="K500" s="112">
        <f>K501+K503</f>
        <v>193</v>
      </c>
      <c r="L500" s="112">
        <f t="shared" ref="L500:L513" si="254">K500/I500*100</f>
        <v>100</v>
      </c>
    </row>
    <row r="501" spans="1:12" s="184" customFormat="1">
      <c r="A501" s="119" t="s">
        <v>301</v>
      </c>
      <c r="B501" s="120" t="s">
        <v>140</v>
      </c>
      <c r="C501" s="120" t="s">
        <v>432</v>
      </c>
      <c r="D501" s="120" t="s">
        <v>432</v>
      </c>
      <c r="E501" s="120" t="s">
        <v>343</v>
      </c>
      <c r="F501" s="120" t="s">
        <v>84</v>
      </c>
      <c r="G501" s="121">
        <f>G502</f>
        <v>190</v>
      </c>
      <c r="H501" s="134">
        <f t="shared" si="243"/>
        <v>0</v>
      </c>
      <c r="I501" s="121">
        <f>I502</f>
        <v>190</v>
      </c>
      <c r="J501" s="121">
        <f t="shared" ref="J501" si="255">J502</f>
        <v>160.715</v>
      </c>
      <c r="K501" s="121">
        <f>K502</f>
        <v>190</v>
      </c>
      <c r="L501" s="121">
        <f t="shared" si="254"/>
        <v>100</v>
      </c>
    </row>
    <row r="502" spans="1:12" s="184" customFormat="1" ht="24">
      <c r="A502" s="119" t="s">
        <v>85</v>
      </c>
      <c r="B502" s="120" t="s">
        <v>140</v>
      </c>
      <c r="C502" s="120" t="s">
        <v>432</v>
      </c>
      <c r="D502" s="120" t="s">
        <v>432</v>
      </c>
      <c r="E502" s="120" t="s">
        <v>343</v>
      </c>
      <c r="F502" s="120" t="s">
        <v>86</v>
      </c>
      <c r="G502" s="121">
        <f>60+30+30+35+35</f>
        <v>190</v>
      </c>
      <c r="H502" s="134">
        <f t="shared" si="243"/>
        <v>0</v>
      </c>
      <c r="I502" s="121">
        <f>60+30+30+35+35</f>
        <v>190</v>
      </c>
      <c r="J502" s="121">
        <v>160.715</v>
      </c>
      <c r="K502" s="121">
        <f>60+30+30+35+35</f>
        <v>190</v>
      </c>
      <c r="L502" s="121">
        <f t="shared" si="254"/>
        <v>100</v>
      </c>
    </row>
    <row r="503" spans="1:12" s="184" customFormat="1">
      <c r="A503" s="119" t="s">
        <v>87</v>
      </c>
      <c r="B503" s="120" t="s">
        <v>140</v>
      </c>
      <c r="C503" s="120" t="s">
        <v>432</v>
      </c>
      <c r="D503" s="120" t="s">
        <v>432</v>
      </c>
      <c r="E503" s="120" t="s">
        <v>343</v>
      </c>
      <c r="F503" s="120" t="s">
        <v>88</v>
      </c>
      <c r="G503" s="121">
        <f>G504</f>
        <v>3</v>
      </c>
      <c r="H503" s="134">
        <f t="shared" si="243"/>
        <v>0</v>
      </c>
      <c r="I503" s="121">
        <f>I504</f>
        <v>3</v>
      </c>
      <c r="J503" s="135">
        <f t="shared" ref="J503" si="256">J504</f>
        <v>0</v>
      </c>
      <c r="K503" s="121">
        <f>K504</f>
        <v>3</v>
      </c>
      <c r="L503" s="121">
        <f t="shared" si="254"/>
        <v>100</v>
      </c>
    </row>
    <row r="504" spans="1:12" s="184" customFormat="1">
      <c r="A504" s="119" t="s">
        <v>514</v>
      </c>
      <c r="B504" s="120" t="s">
        <v>140</v>
      </c>
      <c r="C504" s="120" t="s">
        <v>432</v>
      </c>
      <c r="D504" s="120" t="s">
        <v>432</v>
      </c>
      <c r="E504" s="120" t="s">
        <v>343</v>
      </c>
      <c r="F504" s="120" t="s">
        <v>89</v>
      </c>
      <c r="G504" s="121">
        <v>3</v>
      </c>
      <c r="H504" s="134">
        <f t="shared" si="243"/>
        <v>0</v>
      </c>
      <c r="I504" s="121">
        <v>3</v>
      </c>
      <c r="J504" s="135">
        <v>0</v>
      </c>
      <c r="K504" s="121">
        <v>3</v>
      </c>
      <c r="L504" s="121">
        <f t="shared" si="254"/>
        <v>100</v>
      </c>
    </row>
    <row r="505" spans="1:12" s="184" customFormat="1">
      <c r="A505" s="110" t="s">
        <v>396</v>
      </c>
      <c r="B505" s="111" t="s">
        <v>140</v>
      </c>
      <c r="C505" s="111" t="s">
        <v>488</v>
      </c>
      <c r="D505" s="111" t="s">
        <v>77</v>
      </c>
      <c r="E505" s="111"/>
      <c r="F505" s="111"/>
      <c r="G505" s="121"/>
      <c r="H505" s="134"/>
      <c r="I505" s="112">
        <f>I506</f>
        <v>351.57499999999999</v>
      </c>
      <c r="J505" s="112">
        <f t="shared" ref="J505:J506" si="257">J506</f>
        <v>351.57499999999999</v>
      </c>
      <c r="K505" s="112">
        <f>K506</f>
        <v>351.57499999999999</v>
      </c>
      <c r="L505" s="112">
        <f t="shared" si="254"/>
        <v>100</v>
      </c>
    </row>
    <row r="506" spans="1:12" s="184" customFormat="1">
      <c r="A506" s="110" t="s">
        <v>468</v>
      </c>
      <c r="B506" s="111" t="s">
        <v>140</v>
      </c>
      <c r="C506" s="111" t="s">
        <v>488</v>
      </c>
      <c r="D506" s="111" t="s">
        <v>78</v>
      </c>
      <c r="E506" s="111"/>
      <c r="F506" s="111"/>
      <c r="G506" s="121"/>
      <c r="H506" s="134"/>
      <c r="I506" s="112">
        <f>I507</f>
        <v>351.57499999999999</v>
      </c>
      <c r="J506" s="112">
        <f t="shared" si="257"/>
        <v>351.57499999999999</v>
      </c>
      <c r="K506" s="112">
        <f>K507</f>
        <v>351.57499999999999</v>
      </c>
      <c r="L506" s="112">
        <f t="shared" si="254"/>
        <v>100</v>
      </c>
    </row>
    <row r="507" spans="1:12" s="184" customFormat="1" ht="27">
      <c r="A507" s="123" t="s">
        <v>619</v>
      </c>
      <c r="B507" s="114" t="s">
        <v>140</v>
      </c>
      <c r="C507" s="114" t="s">
        <v>488</v>
      </c>
      <c r="D507" s="114" t="s">
        <v>78</v>
      </c>
      <c r="E507" s="149" t="s">
        <v>254</v>
      </c>
      <c r="F507" s="114"/>
      <c r="G507" s="121"/>
      <c r="H507" s="134"/>
      <c r="I507" s="115">
        <f>I508+I511</f>
        <v>351.57499999999999</v>
      </c>
      <c r="J507" s="115">
        <f t="shared" ref="J507" si="258">J508+J511</f>
        <v>351.57499999999999</v>
      </c>
      <c r="K507" s="115">
        <f>K508+K511</f>
        <v>351.57499999999999</v>
      </c>
      <c r="L507" s="115">
        <f t="shared" si="254"/>
        <v>100</v>
      </c>
    </row>
    <row r="508" spans="1:12" s="184" customFormat="1" ht="24">
      <c r="A508" s="110" t="s">
        <v>717</v>
      </c>
      <c r="B508" s="111" t="s">
        <v>140</v>
      </c>
      <c r="C508" s="111" t="s">
        <v>488</v>
      </c>
      <c r="D508" s="111" t="s">
        <v>78</v>
      </c>
      <c r="E508" s="111" t="s">
        <v>718</v>
      </c>
      <c r="F508" s="111"/>
      <c r="G508" s="121"/>
      <c r="H508" s="134"/>
      <c r="I508" s="112">
        <f>I509</f>
        <v>351.07499999999999</v>
      </c>
      <c r="J508" s="112">
        <f t="shared" ref="J508:J509" si="259">J509</f>
        <v>351.07499999999999</v>
      </c>
      <c r="K508" s="112">
        <f>K509</f>
        <v>351.07499999999999</v>
      </c>
      <c r="L508" s="112">
        <f t="shared" si="254"/>
        <v>100</v>
      </c>
    </row>
    <row r="509" spans="1:12" s="205" customFormat="1">
      <c r="A509" s="119" t="s">
        <v>301</v>
      </c>
      <c r="B509" s="120" t="s">
        <v>140</v>
      </c>
      <c r="C509" s="120" t="s">
        <v>488</v>
      </c>
      <c r="D509" s="120" t="s">
        <v>78</v>
      </c>
      <c r="E509" s="120" t="s">
        <v>718</v>
      </c>
      <c r="F509" s="120" t="s">
        <v>84</v>
      </c>
      <c r="G509" s="121"/>
      <c r="H509" s="134"/>
      <c r="I509" s="121">
        <f>I510</f>
        <v>351.07499999999999</v>
      </c>
      <c r="J509" s="121">
        <f t="shared" si="259"/>
        <v>351.07499999999999</v>
      </c>
      <c r="K509" s="121">
        <f>K510</f>
        <v>351.07499999999999</v>
      </c>
      <c r="L509" s="121">
        <f t="shared" si="254"/>
        <v>100</v>
      </c>
    </row>
    <row r="510" spans="1:12" s="205" customFormat="1" ht="24">
      <c r="A510" s="119" t="s">
        <v>85</v>
      </c>
      <c r="B510" s="120" t="s">
        <v>140</v>
      </c>
      <c r="C510" s="120" t="s">
        <v>488</v>
      </c>
      <c r="D510" s="120" t="s">
        <v>78</v>
      </c>
      <c r="E510" s="120" t="s">
        <v>718</v>
      </c>
      <c r="F510" s="120" t="s">
        <v>86</v>
      </c>
      <c r="G510" s="121"/>
      <c r="H510" s="134"/>
      <c r="I510" s="121">
        <v>351.07499999999999</v>
      </c>
      <c r="J510" s="121">
        <v>351.07499999999999</v>
      </c>
      <c r="K510" s="121">
        <v>351.07499999999999</v>
      </c>
      <c r="L510" s="121">
        <f t="shared" si="254"/>
        <v>100</v>
      </c>
    </row>
    <row r="511" spans="1:12" s="205" customFormat="1" ht="24">
      <c r="A511" s="110" t="s">
        <v>719</v>
      </c>
      <c r="B511" s="111" t="s">
        <v>140</v>
      </c>
      <c r="C511" s="111" t="s">
        <v>488</v>
      </c>
      <c r="D511" s="111" t="s">
        <v>78</v>
      </c>
      <c r="E511" s="111" t="s">
        <v>720</v>
      </c>
      <c r="F511" s="111"/>
      <c r="G511" s="121"/>
      <c r="H511" s="134"/>
      <c r="I511" s="112">
        <f>I512</f>
        <v>0.5</v>
      </c>
      <c r="J511" s="112">
        <f t="shared" ref="J511:J512" si="260">J512</f>
        <v>0.5</v>
      </c>
      <c r="K511" s="112">
        <f>K512</f>
        <v>0.5</v>
      </c>
      <c r="L511" s="112">
        <f t="shared" si="254"/>
        <v>100</v>
      </c>
    </row>
    <row r="512" spans="1:12" s="205" customFormat="1">
      <c r="A512" s="119" t="s">
        <v>301</v>
      </c>
      <c r="B512" s="120" t="s">
        <v>140</v>
      </c>
      <c r="C512" s="120" t="s">
        <v>488</v>
      </c>
      <c r="D512" s="120" t="s">
        <v>78</v>
      </c>
      <c r="E512" s="120" t="s">
        <v>720</v>
      </c>
      <c r="F512" s="120" t="s">
        <v>84</v>
      </c>
      <c r="G512" s="121"/>
      <c r="H512" s="134"/>
      <c r="I512" s="121">
        <f>I513</f>
        <v>0.5</v>
      </c>
      <c r="J512" s="121">
        <f t="shared" si="260"/>
        <v>0.5</v>
      </c>
      <c r="K512" s="121">
        <f>K513</f>
        <v>0.5</v>
      </c>
      <c r="L512" s="121">
        <f t="shared" si="254"/>
        <v>100</v>
      </c>
    </row>
    <row r="513" spans="1:12" s="205" customFormat="1" ht="24">
      <c r="A513" s="119" t="s">
        <v>85</v>
      </c>
      <c r="B513" s="120" t="s">
        <v>140</v>
      </c>
      <c r="C513" s="120" t="s">
        <v>488</v>
      </c>
      <c r="D513" s="120" t="s">
        <v>78</v>
      </c>
      <c r="E513" s="120" t="s">
        <v>720</v>
      </c>
      <c r="F513" s="120" t="s">
        <v>86</v>
      </c>
      <c r="G513" s="121"/>
      <c r="H513" s="134"/>
      <c r="I513" s="121">
        <v>0.5</v>
      </c>
      <c r="J513" s="121">
        <v>0.5</v>
      </c>
      <c r="K513" s="121">
        <v>0.5</v>
      </c>
      <c r="L513" s="121">
        <f t="shared" si="254"/>
        <v>100</v>
      </c>
    </row>
    <row r="514" spans="1:12" s="205" customFormat="1" ht="31.5">
      <c r="A514" s="113" t="s">
        <v>411</v>
      </c>
      <c r="B514" s="116" t="s">
        <v>412</v>
      </c>
      <c r="C514" s="117"/>
      <c r="D514" s="117"/>
      <c r="E514" s="117"/>
      <c r="F514" s="117"/>
      <c r="G514" s="118" t="e">
        <f>G515+G524+#REF!+G574+G594</f>
        <v>#REF!</v>
      </c>
      <c r="H514" s="203" t="e">
        <f t="shared" si="243"/>
        <v>#REF!</v>
      </c>
      <c r="I514" s="118">
        <f>I515+I524+I574+I594</f>
        <v>367648.24778999999</v>
      </c>
      <c r="J514" s="118">
        <f t="shared" ref="J514" si="261">J515+J524+J574+J594</f>
        <v>249974.58288</v>
      </c>
      <c r="K514" s="118">
        <f>K515+K524+K574+K594</f>
        <v>328208.62478999997</v>
      </c>
      <c r="L514" s="118">
        <f>K514/I514*100</f>
        <v>89.272457236753141</v>
      </c>
    </row>
    <row r="515" spans="1:12" s="122" customFormat="1">
      <c r="A515" s="110" t="s">
        <v>363</v>
      </c>
      <c r="B515" s="111" t="s">
        <v>412</v>
      </c>
      <c r="C515" s="111" t="s">
        <v>78</v>
      </c>
      <c r="D515" s="111" t="s">
        <v>77</v>
      </c>
      <c r="E515" s="111"/>
      <c r="F515" s="111"/>
      <c r="G515" s="112">
        <f>G516</f>
        <v>3200</v>
      </c>
      <c r="H515" s="134">
        <f t="shared" si="243"/>
        <v>-962</v>
      </c>
      <c r="I515" s="112">
        <f>I516</f>
        <v>2238</v>
      </c>
      <c r="J515" s="112">
        <f t="shared" ref="J515:J516" si="262">J516</f>
        <v>1646.066</v>
      </c>
      <c r="K515" s="112">
        <f>K516</f>
        <v>2200</v>
      </c>
      <c r="L515" s="112">
        <f>K515/I515*100</f>
        <v>98.302055406613036</v>
      </c>
    </row>
    <row r="516" spans="1:12" s="184" customFormat="1">
      <c r="A516" s="110" t="s">
        <v>405</v>
      </c>
      <c r="B516" s="111" t="s">
        <v>412</v>
      </c>
      <c r="C516" s="111" t="s">
        <v>78</v>
      </c>
      <c r="D516" s="111" t="s">
        <v>489</v>
      </c>
      <c r="E516" s="139"/>
      <c r="F516" s="111"/>
      <c r="G516" s="112">
        <f>G517</f>
        <v>3200</v>
      </c>
      <c r="H516" s="134">
        <f t="shared" si="243"/>
        <v>-962</v>
      </c>
      <c r="I516" s="112">
        <f>I517</f>
        <v>2238</v>
      </c>
      <c r="J516" s="112">
        <f t="shared" si="262"/>
        <v>1646.066</v>
      </c>
      <c r="K516" s="112">
        <f>K517</f>
        <v>2200</v>
      </c>
      <c r="L516" s="112">
        <f t="shared" ref="L516:L579" si="263">K516/I516*100</f>
        <v>98.302055406613036</v>
      </c>
    </row>
    <row r="517" spans="1:12" s="184" customFormat="1" ht="27">
      <c r="A517" s="123" t="s">
        <v>694</v>
      </c>
      <c r="B517" s="114" t="s">
        <v>412</v>
      </c>
      <c r="C517" s="114" t="s">
        <v>78</v>
      </c>
      <c r="D517" s="114" t="s">
        <v>489</v>
      </c>
      <c r="E517" s="114" t="s">
        <v>272</v>
      </c>
      <c r="F517" s="114"/>
      <c r="G517" s="115">
        <f>G518+G521</f>
        <v>3200</v>
      </c>
      <c r="H517" s="134">
        <f t="shared" si="243"/>
        <v>-962</v>
      </c>
      <c r="I517" s="115">
        <f>I518+I521</f>
        <v>2238</v>
      </c>
      <c r="J517" s="115">
        <f t="shared" ref="J517" si="264">J518+J521</f>
        <v>1646.066</v>
      </c>
      <c r="K517" s="115">
        <f>K518+K521</f>
        <v>2200</v>
      </c>
      <c r="L517" s="115">
        <f t="shared" si="263"/>
        <v>98.302055406613036</v>
      </c>
    </row>
    <row r="518" spans="1:12" s="184" customFormat="1">
      <c r="A518" s="110" t="s">
        <v>227</v>
      </c>
      <c r="B518" s="111" t="s">
        <v>412</v>
      </c>
      <c r="C518" s="111" t="s">
        <v>78</v>
      </c>
      <c r="D518" s="111" t="s">
        <v>489</v>
      </c>
      <c r="E518" s="111" t="s">
        <v>639</v>
      </c>
      <c r="F518" s="111"/>
      <c r="G518" s="112">
        <f>G519</f>
        <v>3000</v>
      </c>
      <c r="H518" s="134">
        <f t="shared" si="243"/>
        <v>-962</v>
      </c>
      <c r="I518" s="112">
        <f>I519</f>
        <v>2038</v>
      </c>
      <c r="J518" s="112">
        <f t="shared" ref="J518:J519" si="265">J519</f>
        <v>1646.066</v>
      </c>
      <c r="K518" s="112">
        <f>K519</f>
        <v>2000</v>
      </c>
      <c r="L518" s="112">
        <f t="shared" si="263"/>
        <v>98.135426889106967</v>
      </c>
    </row>
    <row r="519" spans="1:12" s="184" customFormat="1">
      <c r="A519" s="119" t="s">
        <v>301</v>
      </c>
      <c r="B519" s="120" t="s">
        <v>412</v>
      </c>
      <c r="C519" s="120" t="s">
        <v>78</v>
      </c>
      <c r="D519" s="120" t="s">
        <v>489</v>
      </c>
      <c r="E519" s="120" t="s">
        <v>639</v>
      </c>
      <c r="F519" s="120" t="s">
        <v>84</v>
      </c>
      <c r="G519" s="121">
        <f>G520</f>
        <v>3000</v>
      </c>
      <c r="H519" s="134">
        <f t="shared" si="243"/>
        <v>-962</v>
      </c>
      <c r="I519" s="121">
        <f>I520</f>
        <v>2038</v>
      </c>
      <c r="J519" s="121">
        <f t="shared" si="265"/>
        <v>1646.066</v>
      </c>
      <c r="K519" s="121">
        <f>K520</f>
        <v>2000</v>
      </c>
      <c r="L519" s="121">
        <f t="shared" si="263"/>
        <v>98.135426889106967</v>
      </c>
    </row>
    <row r="520" spans="1:12" s="184" customFormat="1" ht="24">
      <c r="A520" s="119" t="s">
        <v>85</v>
      </c>
      <c r="B520" s="120" t="s">
        <v>412</v>
      </c>
      <c r="C520" s="120" t="s">
        <v>78</v>
      </c>
      <c r="D520" s="120" t="s">
        <v>489</v>
      </c>
      <c r="E520" s="120" t="s">
        <v>639</v>
      </c>
      <c r="F520" s="120" t="s">
        <v>86</v>
      </c>
      <c r="G520" s="121">
        <v>3000</v>
      </c>
      <c r="H520" s="134">
        <f t="shared" si="243"/>
        <v>-962</v>
      </c>
      <c r="I520" s="121">
        <f>3000-962</f>
        <v>2038</v>
      </c>
      <c r="J520" s="121">
        <v>1646.066</v>
      </c>
      <c r="K520" s="121">
        <f>3000-962-38</f>
        <v>2000</v>
      </c>
      <c r="L520" s="121">
        <f t="shared" si="263"/>
        <v>98.135426889106967</v>
      </c>
    </row>
    <row r="521" spans="1:12" s="184" customFormat="1">
      <c r="A521" s="141" t="s">
        <v>136</v>
      </c>
      <c r="B521" s="111" t="s">
        <v>412</v>
      </c>
      <c r="C521" s="111" t="s">
        <v>78</v>
      </c>
      <c r="D521" s="111" t="s">
        <v>489</v>
      </c>
      <c r="E521" s="111" t="s">
        <v>640</v>
      </c>
      <c r="F521" s="111"/>
      <c r="G521" s="112">
        <f>G522</f>
        <v>200</v>
      </c>
      <c r="H521" s="134">
        <f t="shared" si="243"/>
        <v>0</v>
      </c>
      <c r="I521" s="112">
        <f>I522</f>
        <v>200</v>
      </c>
      <c r="J521" s="134">
        <f t="shared" ref="J521:J522" si="266">J522</f>
        <v>0</v>
      </c>
      <c r="K521" s="112">
        <f>K522</f>
        <v>200</v>
      </c>
      <c r="L521" s="112">
        <f t="shared" si="263"/>
        <v>100</v>
      </c>
    </row>
    <row r="522" spans="1:12" s="184" customFormat="1">
      <c r="A522" s="119" t="s">
        <v>301</v>
      </c>
      <c r="B522" s="120" t="s">
        <v>412</v>
      </c>
      <c r="C522" s="120" t="s">
        <v>78</v>
      </c>
      <c r="D522" s="120" t="s">
        <v>489</v>
      </c>
      <c r="E522" s="120" t="s">
        <v>640</v>
      </c>
      <c r="F522" s="120" t="s">
        <v>84</v>
      </c>
      <c r="G522" s="121">
        <f>G523</f>
        <v>200</v>
      </c>
      <c r="H522" s="134">
        <f t="shared" si="243"/>
        <v>0</v>
      </c>
      <c r="I522" s="121">
        <f>I523</f>
        <v>200</v>
      </c>
      <c r="J522" s="135">
        <f t="shared" si="266"/>
        <v>0</v>
      </c>
      <c r="K522" s="121">
        <f>K523</f>
        <v>200</v>
      </c>
      <c r="L522" s="121">
        <f t="shared" si="263"/>
        <v>100</v>
      </c>
    </row>
    <row r="523" spans="1:12" s="184" customFormat="1" ht="24">
      <c r="A523" s="119" t="s">
        <v>85</v>
      </c>
      <c r="B523" s="120" t="s">
        <v>412</v>
      </c>
      <c r="C523" s="120" t="s">
        <v>78</v>
      </c>
      <c r="D523" s="120" t="s">
        <v>489</v>
      </c>
      <c r="E523" s="120" t="s">
        <v>640</v>
      </c>
      <c r="F523" s="120" t="s">
        <v>86</v>
      </c>
      <c r="G523" s="121">
        <v>200</v>
      </c>
      <c r="H523" s="134">
        <f t="shared" si="243"/>
        <v>0</v>
      </c>
      <c r="I523" s="121">
        <v>200</v>
      </c>
      <c r="J523" s="135">
        <v>0</v>
      </c>
      <c r="K523" s="121">
        <v>200</v>
      </c>
      <c r="L523" s="121">
        <f t="shared" si="263"/>
        <v>100</v>
      </c>
    </row>
    <row r="524" spans="1:12" s="184" customFormat="1">
      <c r="A524" s="110" t="s">
        <v>375</v>
      </c>
      <c r="B524" s="111" t="s">
        <v>412</v>
      </c>
      <c r="C524" s="111" t="s">
        <v>432</v>
      </c>
      <c r="D524" s="111" t="s">
        <v>77</v>
      </c>
      <c r="E524" s="111"/>
      <c r="F524" s="111"/>
      <c r="G524" s="112">
        <f>G525+G542+G562</f>
        <v>136030</v>
      </c>
      <c r="H524" s="134">
        <f t="shared" si="243"/>
        <v>117930.24778999999</v>
      </c>
      <c r="I524" s="112">
        <f>I525+I542+I562</f>
        <v>253960.24778999999</v>
      </c>
      <c r="J524" s="112">
        <f t="shared" ref="J524" si="267">J525+J542+J562</f>
        <v>176098.50988</v>
      </c>
      <c r="K524" s="112">
        <f>K525+K542+K562</f>
        <v>253066.57478999998</v>
      </c>
      <c r="L524" s="112">
        <f t="shared" si="263"/>
        <v>99.648105163002128</v>
      </c>
    </row>
    <row r="525" spans="1:12" s="184" customFormat="1">
      <c r="A525" s="110" t="s">
        <v>376</v>
      </c>
      <c r="B525" s="111" t="s">
        <v>412</v>
      </c>
      <c r="C525" s="111" t="s">
        <v>432</v>
      </c>
      <c r="D525" s="111" t="s">
        <v>76</v>
      </c>
      <c r="E525" s="111"/>
      <c r="F525" s="111"/>
      <c r="G525" s="112">
        <f>G526</f>
        <v>15300</v>
      </c>
      <c r="H525" s="134">
        <f t="shared" si="243"/>
        <v>56930.247790000009</v>
      </c>
      <c r="I525" s="112">
        <f>I526</f>
        <v>72230.247790000009</v>
      </c>
      <c r="J525" s="112">
        <f t="shared" ref="J525" si="268">J526</f>
        <v>70795.324999999997</v>
      </c>
      <c r="K525" s="112">
        <f>K526</f>
        <v>72230.247790000009</v>
      </c>
      <c r="L525" s="112">
        <f t="shared" si="263"/>
        <v>100</v>
      </c>
    </row>
    <row r="526" spans="1:12" s="184" customFormat="1" ht="27">
      <c r="A526" s="123" t="s">
        <v>694</v>
      </c>
      <c r="B526" s="114" t="s">
        <v>412</v>
      </c>
      <c r="C526" s="114" t="s">
        <v>432</v>
      </c>
      <c r="D526" s="114" t="s">
        <v>76</v>
      </c>
      <c r="E526" s="114" t="s">
        <v>272</v>
      </c>
      <c r="F526" s="114"/>
      <c r="G526" s="115">
        <f>G527+G539</f>
        <v>15300</v>
      </c>
      <c r="H526" s="134">
        <f t="shared" si="243"/>
        <v>56930.247790000009</v>
      </c>
      <c r="I526" s="115">
        <f>I527+I539+I533+I536+I530</f>
        <v>72230.247790000009</v>
      </c>
      <c r="J526" s="115">
        <f t="shared" ref="J526" si="269">J527+J539+J533+J536+J530</f>
        <v>70795.324999999997</v>
      </c>
      <c r="K526" s="115">
        <f>K527+K539+K533+K536+K530</f>
        <v>72230.247790000009</v>
      </c>
      <c r="L526" s="115">
        <f t="shared" si="263"/>
        <v>100</v>
      </c>
    </row>
    <row r="527" spans="1:12" s="184" customFormat="1" ht="24">
      <c r="A527" s="110" t="s">
        <v>494</v>
      </c>
      <c r="B527" s="111" t="s">
        <v>412</v>
      </c>
      <c r="C527" s="111" t="s">
        <v>432</v>
      </c>
      <c r="D527" s="111" t="s">
        <v>76</v>
      </c>
      <c r="E527" s="111" t="s">
        <v>641</v>
      </c>
      <c r="F527" s="111"/>
      <c r="G527" s="134">
        <f>G528</f>
        <v>2000</v>
      </c>
      <c r="H527" s="134">
        <f t="shared" si="243"/>
        <v>-160</v>
      </c>
      <c r="I527" s="134">
        <f>I528</f>
        <v>1840</v>
      </c>
      <c r="J527" s="134">
        <f t="shared" ref="J527:J528" si="270">J528</f>
        <v>553.32100000000003</v>
      </c>
      <c r="K527" s="134">
        <f>K528</f>
        <v>1840</v>
      </c>
      <c r="L527" s="112">
        <f t="shared" si="263"/>
        <v>100</v>
      </c>
    </row>
    <row r="528" spans="1:12" s="184" customFormat="1">
      <c r="A528" s="119" t="s">
        <v>301</v>
      </c>
      <c r="B528" s="120" t="s">
        <v>412</v>
      </c>
      <c r="C528" s="120" t="s">
        <v>432</v>
      </c>
      <c r="D528" s="120" t="s">
        <v>76</v>
      </c>
      <c r="E528" s="120" t="s">
        <v>641</v>
      </c>
      <c r="F528" s="120" t="s">
        <v>84</v>
      </c>
      <c r="G528" s="135">
        <f>G529</f>
        <v>2000</v>
      </c>
      <c r="H528" s="134">
        <f t="shared" si="243"/>
        <v>-160</v>
      </c>
      <c r="I528" s="135">
        <f>I529</f>
        <v>1840</v>
      </c>
      <c r="J528" s="135">
        <f t="shared" si="270"/>
        <v>553.32100000000003</v>
      </c>
      <c r="K528" s="135">
        <f>K529</f>
        <v>1840</v>
      </c>
      <c r="L528" s="121">
        <f t="shared" si="263"/>
        <v>100</v>
      </c>
    </row>
    <row r="529" spans="1:12" s="184" customFormat="1" ht="24">
      <c r="A529" s="119" t="s">
        <v>85</v>
      </c>
      <c r="B529" s="120" t="s">
        <v>412</v>
      </c>
      <c r="C529" s="120" t="s">
        <v>432</v>
      </c>
      <c r="D529" s="120" t="s">
        <v>76</v>
      </c>
      <c r="E529" s="120" t="s">
        <v>641</v>
      </c>
      <c r="F529" s="120" t="s">
        <v>86</v>
      </c>
      <c r="G529" s="135">
        <v>2000</v>
      </c>
      <c r="H529" s="134">
        <f t="shared" si="243"/>
        <v>-160</v>
      </c>
      <c r="I529" s="135">
        <f>2000-160</f>
        <v>1840</v>
      </c>
      <c r="J529" s="135">
        <v>553.32100000000003</v>
      </c>
      <c r="K529" s="135">
        <f>2000-160</f>
        <v>1840</v>
      </c>
      <c r="L529" s="121">
        <f t="shared" si="263"/>
        <v>100</v>
      </c>
    </row>
    <row r="530" spans="1:12" s="184" customFormat="1">
      <c r="A530" s="141" t="s">
        <v>136</v>
      </c>
      <c r="B530" s="111" t="s">
        <v>412</v>
      </c>
      <c r="C530" s="111" t="s">
        <v>432</v>
      </c>
      <c r="D530" s="111" t="s">
        <v>76</v>
      </c>
      <c r="E530" s="111" t="s">
        <v>640</v>
      </c>
      <c r="F530" s="111"/>
      <c r="G530" s="135"/>
      <c r="H530" s="134"/>
      <c r="I530" s="134">
        <f>I531</f>
        <v>160</v>
      </c>
      <c r="J530" s="134">
        <f t="shared" ref="J530:J531" si="271">J531</f>
        <v>50</v>
      </c>
      <c r="K530" s="134">
        <f>K531</f>
        <v>160</v>
      </c>
      <c r="L530" s="112">
        <f t="shared" si="263"/>
        <v>100</v>
      </c>
    </row>
    <row r="531" spans="1:12" s="184" customFormat="1">
      <c r="A531" s="119" t="s">
        <v>301</v>
      </c>
      <c r="B531" s="120" t="s">
        <v>412</v>
      </c>
      <c r="C531" s="120" t="s">
        <v>432</v>
      </c>
      <c r="D531" s="120" t="s">
        <v>76</v>
      </c>
      <c r="E531" s="120" t="s">
        <v>640</v>
      </c>
      <c r="F531" s="120" t="s">
        <v>84</v>
      </c>
      <c r="G531" s="135"/>
      <c r="H531" s="134"/>
      <c r="I531" s="135">
        <f>I532</f>
        <v>160</v>
      </c>
      <c r="J531" s="135">
        <f t="shared" si="271"/>
        <v>50</v>
      </c>
      <c r="K531" s="135">
        <f>K532</f>
        <v>160</v>
      </c>
      <c r="L531" s="121">
        <f t="shared" si="263"/>
        <v>100</v>
      </c>
    </row>
    <row r="532" spans="1:12" s="184" customFormat="1" ht="24">
      <c r="A532" s="119" t="s">
        <v>85</v>
      </c>
      <c r="B532" s="120" t="s">
        <v>412</v>
      </c>
      <c r="C532" s="120" t="s">
        <v>432</v>
      </c>
      <c r="D532" s="120" t="s">
        <v>76</v>
      </c>
      <c r="E532" s="120" t="s">
        <v>640</v>
      </c>
      <c r="F532" s="120" t="s">
        <v>86</v>
      </c>
      <c r="G532" s="135"/>
      <c r="H532" s="134"/>
      <c r="I532" s="135">
        <v>160</v>
      </c>
      <c r="J532" s="135">
        <v>50</v>
      </c>
      <c r="K532" s="135">
        <v>160</v>
      </c>
      <c r="L532" s="121">
        <f t="shared" si="263"/>
        <v>100</v>
      </c>
    </row>
    <row r="533" spans="1:12" s="184" customFormat="1" ht="81">
      <c r="A533" s="158" t="s">
        <v>749</v>
      </c>
      <c r="B533" s="114" t="s">
        <v>412</v>
      </c>
      <c r="C533" s="114" t="s">
        <v>432</v>
      </c>
      <c r="D533" s="114" t="s">
        <v>76</v>
      </c>
      <c r="E533" s="114" t="s">
        <v>750</v>
      </c>
      <c r="F533" s="114"/>
      <c r="G533" s="135"/>
      <c r="H533" s="134"/>
      <c r="I533" s="115">
        <f>I534</f>
        <v>54171.156999999999</v>
      </c>
      <c r="J533" s="115">
        <f t="shared" ref="J533:J534" si="272">J534</f>
        <v>54171.156999999999</v>
      </c>
      <c r="K533" s="115">
        <f>K534</f>
        <v>54171.156999999999</v>
      </c>
      <c r="L533" s="115">
        <f t="shared" si="263"/>
        <v>100</v>
      </c>
    </row>
    <row r="534" spans="1:12" s="184" customFormat="1" ht="24">
      <c r="A534" s="119" t="s">
        <v>226</v>
      </c>
      <c r="B534" s="120" t="s">
        <v>412</v>
      </c>
      <c r="C534" s="120" t="s">
        <v>432</v>
      </c>
      <c r="D534" s="120" t="s">
        <v>76</v>
      </c>
      <c r="E534" s="120" t="s">
        <v>750</v>
      </c>
      <c r="F534" s="120" t="s">
        <v>434</v>
      </c>
      <c r="G534" s="135"/>
      <c r="H534" s="134"/>
      <c r="I534" s="121">
        <f>I535</f>
        <v>54171.156999999999</v>
      </c>
      <c r="J534" s="121">
        <f t="shared" si="272"/>
        <v>54171.156999999999</v>
      </c>
      <c r="K534" s="121">
        <f>K535</f>
        <v>54171.156999999999</v>
      </c>
      <c r="L534" s="121">
        <f t="shared" si="263"/>
        <v>100</v>
      </c>
    </row>
    <row r="535" spans="1:12" s="184" customFormat="1">
      <c r="A535" s="119" t="s">
        <v>435</v>
      </c>
      <c r="B535" s="120" t="s">
        <v>412</v>
      </c>
      <c r="C535" s="120" t="s">
        <v>432</v>
      </c>
      <c r="D535" s="120" t="s">
        <v>76</v>
      </c>
      <c r="E535" s="120" t="s">
        <v>750</v>
      </c>
      <c r="F535" s="120" t="s">
        <v>436</v>
      </c>
      <c r="G535" s="135"/>
      <c r="H535" s="134"/>
      <c r="I535" s="121">
        <v>54171.156999999999</v>
      </c>
      <c r="J535" s="121">
        <v>54171.156999999999</v>
      </c>
      <c r="K535" s="121">
        <v>54171.156999999999</v>
      </c>
      <c r="L535" s="121">
        <f t="shared" si="263"/>
        <v>100</v>
      </c>
    </row>
    <row r="536" spans="1:12" s="184" customFormat="1" ht="52.5" customHeight="1">
      <c r="A536" s="123" t="s">
        <v>751</v>
      </c>
      <c r="B536" s="114" t="s">
        <v>412</v>
      </c>
      <c r="C536" s="114" t="s">
        <v>432</v>
      </c>
      <c r="D536" s="114" t="s">
        <v>76</v>
      </c>
      <c r="E536" s="114" t="s">
        <v>752</v>
      </c>
      <c r="F536" s="114"/>
      <c r="G536" s="135"/>
      <c r="H536" s="134"/>
      <c r="I536" s="115">
        <f>I537</f>
        <v>2759.0907900000002</v>
      </c>
      <c r="J536" s="115">
        <f t="shared" ref="J536:J537" si="273">J537</f>
        <v>2759.0907900000002</v>
      </c>
      <c r="K536" s="115">
        <f>K537</f>
        <v>2759.0907900000002</v>
      </c>
      <c r="L536" s="115">
        <f t="shared" si="263"/>
        <v>100</v>
      </c>
    </row>
    <row r="537" spans="1:12" s="184" customFormat="1" ht="24">
      <c r="A537" s="119" t="s">
        <v>226</v>
      </c>
      <c r="B537" s="120" t="s">
        <v>412</v>
      </c>
      <c r="C537" s="120" t="s">
        <v>432</v>
      </c>
      <c r="D537" s="120" t="s">
        <v>76</v>
      </c>
      <c r="E537" s="120" t="s">
        <v>752</v>
      </c>
      <c r="F537" s="120" t="s">
        <v>434</v>
      </c>
      <c r="G537" s="135"/>
      <c r="H537" s="134"/>
      <c r="I537" s="121">
        <f>I538</f>
        <v>2759.0907900000002</v>
      </c>
      <c r="J537" s="121">
        <f t="shared" si="273"/>
        <v>2759.0907900000002</v>
      </c>
      <c r="K537" s="121">
        <f>K538</f>
        <v>2759.0907900000002</v>
      </c>
      <c r="L537" s="121">
        <f t="shared" si="263"/>
        <v>100</v>
      </c>
    </row>
    <row r="538" spans="1:12" s="184" customFormat="1">
      <c r="A538" s="119" t="s">
        <v>435</v>
      </c>
      <c r="B538" s="120" t="s">
        <v>412</v>
      </c>
      <c r="C538" s="120" t="s">
        <v>432</v>
      </c>
      <c r="D538" s="120" t="s">
        <v>76</v>
      </c>
      <c r="E538" s="120" t="s">
        <v>752</v>
      </c>
      <c r="F538" s="120" t="s">
        <v>436</v>
      </c>
      <c r="G538" s="135"/>
      <c r="H538" s="134"/>
      <c r="I538" s="121">
        <v>2759.0907900000002</v>
      </c>
      <c r="J538" s="121">
        <v>2759.0907900000002</v>
      </c>
      <c r="K538" s="121">
        <v>2759.0907900000002</v>
      </c>
      <c r="L538" s="121">
        <f t="shared" si="263"/>
        <v>100</v>
      </c>
    </row>
    <row r="539" spans="1:12" s="184" customFormat="1" ht="24">
      <c r="A539" s="110" t="s">
        <v>636</v>
      </c>
      <c r="B539" s="111" t="s">
        <v>412</v>
      </c>
      <c r="C539" s="111" t="s">
        <v>432</v>
      </c>
      <c r="D539" s="111" t="s">
        <v>76</v>
      </c>
      <c r="E539" s="111" t="s">
        <v>637</v>
      </c>
      <c r="F539" s="111"/>
      <c r="G539" s="112">
        <f>G540</f>
        <v>13300</v>
      </c>
      <c r="H539" s="134">
        <f t="shared" si="243"/>
        <v>0</v>
      </c>
      <c r="I539" s="112">
        <f>I540</f>
        <v>13300</v>
      </c>
      <c r="J539" s="112">
        <f t="shared" ref="J539:J540" si="274">J540</f>
        <v>13261.75621</v>
      </c>
      <c r="K539" s="112">
        <f>K540</f>
        <v>13300</v>
      </c>
      <c r="L539" s="112">
        <f t="shared" si="263"/>
        <v>100</v>
      </c>
    </row>
    <row r="540" spans="1:12" s="184" customFormat="1" ht="24">
      <c r="A540" s="119" t="s">
        <v>226</v>
      </c>
      <c r="B540" s="120" t="s">
        <v>412</v>
      </c>
      <c r="C540" s="120" t="s">
        <v>432</v>
      </c>
      <c r="D540" s="120" t="s">
        <v>76</v>
      </c>
      <c r="E540" s="120" t="s">
        <v>637</v>
      </c>
      <c r="F540" s="120" t="s">
        <v>434</v>
      </c>
      <c r="G540" s="121">
        <f>G541</f>
        <v>13300</v>
      </c>
      <c r="H540" s="134">
        <f t="shared" si="243"/>
        <v>0</v>
      </c>
      <c r="I540" s="121">
        <f>I541</f>
        <v>13300</v>
      </c>
      <c r="J540" s="121">
        <f t="shared" si="274"/>
        <v>13261.75621</v>
      </c>
      <c r="K540" s="121">
        <f>K541</f>
        <v>13300</v>
      </c>
      <c r="L540" s="121">
        <f t="shared" si="263"/>
        <v>100</v>
      </c>
    </row>
    <row r="541" spans="1:12" s="184" customFormat="1">
      <c r="A541" s="119" t="s">
        <v>435</v>
      </c>
      <c r="B541" s="120" t="s">
        <v>412</v>
      </c>
      <c r="C541" s="120" t="s">
        <v>432</v>
      </c>
      <c r="D541" s="120" t="s">
        <v>76</v>
      </c>
      <c r="E541" s="120" t="s">
        <v>637</v>
      </c>
      <c r="F541" s="120" t="s">
        <v>436</v>
      </c>
      <c r="G541" s="121">
        <v>13300</v>
      </c>
      <c r="H541" s="134">
        <f t="shared" si="243"/>
        <v>0</v>
      </c>
      <c r="I541" s="121">
        <v>13300</v>
      </c>
      <c r="J541" s="121">
        <v>13261.75621</v>
      </c>
      <c r="K541" s="121">
        <v>13300</v>
      </c>
      <c r="L541" s="121">
        <f t="shared" si="263"/>
        <v>100</v>
      </c>
    </row>
    <row r="542" spans="1:12" s="184" customFormat="1">
      <c r="A542" s="110" t="s">
        <v>379</v>
      </c>
      <c r="B542" s="111" t="s">
        <v>412</v>
      </c>
      <c r="C542" s="111" t="s">
        <v>432</v>
      </c>
      <c r="D542" s="111" t="s">
        <v>483</v>
      </c>
      <c r="E542" s="120"/>
      <c r="F542" s="120"/>
      <c r="G542" s="112">
        <f>G543</f>
        <v>114100</v>
      </c>
      <c r="H542" s="134">
        <f t="shared" si="243"/>
        <v>61000</v>
      </c>
      <c r="I542" s="112">
        <f>I543</f>
        <v>175100</v>
      </c>
      <c r="J542" s="112">
        <f t="shared" ref="J542" si="275">J543</f>
        <v>100777.761</v>
      </c>
      <c r="K542" s="112">
        <f>K543</f>
        <v>174206.32699999999</v>
      </c>
      <c r="L542" s="112">
        <f t="shared" si="263"/>
        <v>99.489621359223293</v>
      </c>
    </row>
    <row r="543" spans="1:12" s="184" customFormat="1" ht="27">
      <c r="A543" s="123" t="s">
        <v>694</v>
      </c>
      <c r="B543" s="114" t="s">
        <v>412</v>
      </c>
      <c r="C543" s="114" t="s">
        <v>432</v>
      </c>
      <c r="D543" s="114" t="s">
        <v>483</v>
      </c>
      <c r="E543" s="114" t="s">
        <v>272</v>
      </c>
      <c r="F543" s="114"/>
      <c r="G543" s="115">
        <f>G544+G547+G550+G553+G556</f>
        <v>114100</v>
      </c>
      <c r="H543" s="162">
        <f t="shared" si="243"/>
        <v>61000</v>
      </c>
      <c r="I543" s="115">
        <f>I544+I547+I550+I553+I556+I559</f>
        <v>175100</v>
      </c>
      <c r="J543" s="115">
        <f t="shared" ref="J543" si="276">J544+J547+J550+J553+J556+J559</f>
        <v>100777.761</v>
      </c>
      <c r="K543" s="115">
        <f>K544+K547+K550+K553+K556+K559</f>
        <v>174206.32699999999</v>
      </c>
      <c r="L543" s="112">
        <f t="shared" si="263"/>
        <v>99.489621359223293</v>
      </c>
    </row>
    <row r="544" spans="1:12" s="184" customFormat="1">
      <c r="A544" s="141" t="s">
        <v>642</v>
      </c>
      <c r="B544" s="111" t="s">
        <v>412</v>
      </c>
      <c r="C544" s="111" t="s">
        <v>432</v>
      </c>
      <c r="D544" s="111" t="s">
        <v>483</v>
      </c>
      <c r="E544" s="111" t="s">
        <v>643</v>
      </c>
      <c r="F544" s="111"/>
      <c r="G544" s="112">
        <f>G545</f>
        <v>10000</v>
      </c>
      <c r="H544" s="134">
        <f t="shared" si="243"/>
        <v>0</v>
      </c>
      <c r="I544" s="112">
        <f>I545</f>
        <v>10000</v>
      </c>
      <c r="J544" s="112">
        <f t="shared" ref="J544:J545" si="277">J545</f>
        <v>9013.6039999999994</v>
      </c>
      <c r="K544" s="112">
        <f>K545</f>
        <v>10000</v>
      </c>
      <c r="L544" s="112">
        <f t="shared" si="263"/>
        <v>100</v>
      </c>
    </row>
    <row r="545" spans="1:12" s="184" customFormat="1">
      <c r="A545" s="119" t="s">
        <v>189</v>
      </c>
      <c r="B545" s="120" t="s">
        <v>412</v>
      </c>
      <c r="C545" s="120" t="s">
        <v>432</v>
      </c>
      <c r="D545" s="120" t="s">
        <v>483</v>
      </c>
      <c r="E545" s="120" t="s">
        <v>643</v>
      </c>
      <c r="F545" s="120" t="s">
        <v>84</v>
      </c>
      <c r="G545" s="121">
        <f>G546</f>
        <v>10000</v>
      </c>
      <c r="H545" s="134">
        <f t="shared" si="243"/>
        <v>0</v>
      </c>
      <c r="I545" s="121">
        <f>I546</f>
        <v>10000</v>
      </c>
      <c r="J545" s="121">
        <f t="shared" si="277"/>
        <v>9013.6039999999994</v>
      </c>
      <c r="K545" s="121">
        <f>K546</f>
        <v>10000</v>
      </c>
      <c r="L545" s="121">
        <f t="shared" si="263"/>
        <v>100</v>
      </c>
    </row>
    <row r="546" spans="1:12" s="184" customFormat="1" ht="24">
      <c r="A546" s="119" t="s">
        <v>85</v>
      </c>
      <c r="B546" s="120" t="s">
        <v>412</v>
      </c>
      <c r="C546" s="120" t="s">
        <v>432</v>
      </c>
      <c r="D546" s="120" t="s">
        <v>483</v>
      </c>
      <c r="E546" s="120" t="s">
        <v>643</v>
      </c>
      <c r="F546" s="120" t="s">
        <v>86</v>
      </c>
      <c r="G546" s="121">
        <v>10000</v>
      </c>
      <c r="H546" s="134">
        <f t="shared" si="243"/>
        <v>0</v>
      </c>
      <c r="I546" s="121">
        <v>10000</v>
      </c>
      <c r="J546" s="121">
        <v>9013.6039999999994</v>
      </c>
      <c r="K546" s="121">
        <v>10000</v>
      </c>
      <c r="L546" s="121">
        <f t="shared" si="263"/>
        <v>100</v>
      </c>
    </row>
    <row r="547" spans="1:12" s="184" customFormat="1">
      <c r="A547" s="110" t="s">
        <v>644</v>
      </c>
      <c r="B547" s="111" t="s">
        <v>412</v>
      </c>
      <c r="C547" s="111" t="s">
        <v>432</v>
      </c>
      <c r="D547" s="111" t="s">
        <v>483</v>
      </c>
      <c r="E547" s="111" t="s">
        <v>645</v>
      </c>
      <c r="F547" s="111"/>
      <c r="G547" s="112">
        <f>G548</f>
        <v>3600</v>
      </c>
      <c r="H547" s="134">
        <f t="shared" si="243"/>
        <v>0</v>
      </c>
      <c r="I547" s="112">
        <f>I548</f>
        <v>3600</v>
      </c>
      <c r="J547" s="112">
        <f t="shared" ref="J547:J548" si="278">J548</f>
        <v>2706.3270000000002</v>
      </c>
      <c r="K547" s="112">
        <f>K548</f>
        <v>2706.3270000000002</v>
      </c>
      <c r="L547" s="112">
        <f t="shared" si="263"/>
        <v>75.175750000000008</v>
      </c>
    </row>
    <row r="548" spans="1:12" s="184" customFormat="1">
      <c r="A548" s="119" t="s">
        <v>189</v>
      </c>
      <c r="B548" s="120" t="s">
        <v>412</v>
      </c>
      <c r="C548" s="120" t="s">
        <v>432</v>
      </c>
      <c r="D548" s="120" t="s">
        <v>483</v>
      </c>
      <c r="E548" s="120" t="s">
        <v>645</v>
      </c>
      <c r="F548" s="120" t="s">
        <v>84</v>
      </c>
      <c r="G548" s="121">
        <f>G549</f>
        <v>3600</v>
      </c>
      <c r="H548" s="134">
        <f t="shared" si="243"/>
        <v>0</v>
      </c>
      <c r="I548" s="121">
        <f>I549</f>
        <v>3600</v>
      </c>
      <c r="J548" s="121">
        <f t="shared" si="278"/>
        <v>2706.3270000000002</v>
      </c>
      <c r="K548" s="121">
        <f>K549</f>
        <v>2706.3270000000002</v>
      </c>
      <c r="L548" s="121">
        <f t="shared" si="263"/>
        <v>75.175750000000008</v>
      </c>
    </row>
    <row r="549" spans="1:12" s="184" customFormat="1" ht="24">
      <c r="A549" s="119" t="s">
        <v>85</v>
      </c>
      <c r="B549" s="120" t="s">
        <v>412</v>
      </c>
      <c r="C549" s="120" t="s">
        <v>432</v>
      </c>
      <c r="D549" s="120" t="s">
        <v>483</v>
      </c>
      <c r="E549" s="120" t="s">
        <v>645</v>
      </c>
      <c r="F549" s="120" t="s">
        <v>86</v>
      </c>
      <c r="G549" s="121">
        <v>3600</v>
      </c>
      <c r="H549" s="134">
        <f t="shared" si="243"/>
        <v>0</v>
      </c>
      <c r="I549" s="121">
        <v>3600</v>
      </c>
      <c r="J549" s="121">
        <v>2706.3270000000002</v>
      </c>
      <c r="K549" s="121">
        <f>3600-893.673</f>
        <v>2706.3270000000002</v>
      </c>
      <c r="L549" s="121">
        <f t="shared" si="263"/>
        <v>75.175750000000008</v>
      </c>
    </row>
    <row r="550" spans="1:12" s="184" customFormat="1">
      <c r="A550" s="141" t="s">
        <v>136</v>
      </c>
      <c r="B550" s="111" t="s">
        <v>412</v>
      </c>
      <c r="C550" s="111" t="s">
        <v>432</v>
      </c>
      <c r="D550" s="111" t="s">
        <v>483</v>
      </c>
      <c r="E550" s="111" t="s">
        <v>640</v>
      </c>
      <c r="F550" s="111"/>
      <c r="G550" s="134">
        <f>G551</f>
        <v>500</v>
      </c>
      <c r="H550" s="134">
        <f t="shared" si="243"/>
        <v>0</v>
      </c>
      <c r="I550" s="134">
        <f>I551</f>
        <v>500</v>
      </c>
      <c r="J550" s="134">
        <f t="shared" ref="J550:J551" si="279">J551</f>
        <v>189.797</v>
      </c>
      <c r="K550" s="134">
        <f>K551</f>
        <v>500</v>
      </c>
      <c r="L550" s="112">
        <f t="shared" si="263"/>
        <v>100</v>
      </c>
    </row>
    <row r="551" spans="1:12" s="184" customFormat="1">
      <c r="A551" s="119" t="s">
        <v>301</v>
      </c>
      <c r="B551" s="120" t="s">
        <v>412</v>
      </c>
      <c r="C551" s="120" t="s">
        <v>432</v>
      </c>
      <c r="D551" s="120" t="s">
        <v>483</v>
      </c>
      <c r="E551" s="120" t="s">
        <v>640</v>
      </c>
      <c r="F551" s="120" t="s">
        <v>84</v>
      </c>
      <c r="G551" s="135">
        <f>G552</f>
        <v>500</v>
      </c>
      <c r="H551" s="134">
        <f t="shared" si="243"/>
        <v>0</v>
      </c>
      <c r="I551" s="135">
        <f>I552</f>
        <v>500</v>
      </c>
      <c r="J551" s="135">
        <f t="shared" si="279"/>
        <v>189.797</v>
      </c>
      <c r="K551" s="135">
        <f>K552</f>
        <v>500</v>
      </c>
      <c r="L551" s="121">
        <f t="shared" si="263"/>
        <v>100</v>
      </c>
    </row>
    <row r="552" spans="1:12" s="184" customFormat="1" ht="24">
      <c r="A552" s="119" t="s">
        <v>85</v>
      </c>
      <c r="B552" s="120" t="s">
        <v>412</v>
      </c>
      <c r="C552" s="120" t="s">
        <v>432</v>
      </c>
      <c r="D552" s="120" t="s">
        <v>483</v>
      </c>
      <c r="E552" s="120" t="s">
        <v>640</v>
      </c>
      <c r="F552" s="120" t="s">
        <v>86</v>
      </c>
      <c r="G552" s="135">
        <v>500</v>
      </c>
      <c r="H552" s="134">
        <f t="shared" si="243"/>
        <v>0</v>
      </c>
      <c r="I552" s="135">
        <v>500</v>
      </c>
      <c r="J552" s="135">
        <v>189.797</v>
      </c>
      <c r="K552" s="135">
        <v>500</v>
      </c>
      <c r="L552" s="121">
        <f t="shared" si="263"/>
        <v>100</v>
      </c>
    </row>
    <row r="553" spans="1:12" s="184" customFormat="1">
      <c r="A553" s="110" t="s">
        <v>703</v>
      </c>
      <c r="B553" s="111" t="s">
        <v>412</v>
      </c>
      <c r="C553" s="111" t="s">
        <v>432</v>
      </c>
      <c r="D553" s="111" t="s">
        <v>483</v>
      </c>
      <c r="E553" s="111" t="s">
        <v>700</v>
      </c>
      <c r="F553" s="111"/>
      <c r="G553" s="134">
        <f>G554</f>
        <v>100000</v>
      </c>
      <c r="H553" s="134">
        <f t="shared" si="243"/>
        <v>0</v>
      </c>
      <c r="I553" s="134">
        <f>I554</f>
        <v>100000</v>
      </c>
      <c r="J553" s="134">
        <f t="shared" ref="J553:J554" si="280">J554</f>
        <v>87735.337</v>
      </c>
      <c r="K553" s="134">
        <f>K554</f>
        <v>100000</v>
      </c>
      <c r="L553" s="112">
        <f t="shared" si="263"/>
        <v>100</v>
      </c>
    </row>
    <row r="554" spans="1:12" s="184" customFormat="1">
      <c r="A554" s="119" t="s">
        <v>189</v>
      </c>
      <c r="B554" s="120" t="s">
        <v>412</v>
      </c>
      <c r="C554" s="120" t="s">
        <v>432</v>
      </c>
      <c r="D554" s="120" t="s">
        <v>483</v>
      </c>
      <c r="E554" s="120" t="s">
        <v>700</v>
      </c>
      <c r="F554" s="120" t="s">
        <v>84</v>
      </c>
      <c r="G554" s="135">
        <f>G555</f>
        <v>100000</v>
      </c>
      <c r="H554" s="134">
        <f t="shared" si="243"/>
        <v>0</v>
      </c>
      <c r="I554" s="135">
        <f>I555</f>
        <v>100000</v>
      </c>
      <c r="J554" s="135">
        <f t="shared" si="280"/>
        <v>87735.337</v>
      </c>
      <c r="K554" s="135">
        <f>K555</f>
        <v>100000</v>
      </c>
      <c r="L554" s="121">
        <f t="shared" si="263"/>
        <v>100</v>
      </c>
    </row>
    <row r="555" spans="1:12" s="184" customFormat="1" ht="24">
      <c r="A555" s="119" t="s">
        <v>85</v>
      </c>
      <c r="B555" s="120" t="s">
        <v>412</v>
      </c>
      <c r="C555" s="120" t="s">
        <v>432</v>
      </c>
      <c r="D555" s="120" t="s">
        <v>483</v>
      </c>
      <c r="E555" s="120" t="s">
        <v>700</v>
      </c>
      <c r="F555" s="120" t="s">
        <v>86</v>
      </c>
      <c r="G555" s="135">
        <v>100000</v>
      </c>
      <c r="H555" s="134">
        <f t="shared" si="243"/>
        <v>0</v>
      </c>
      <c r="I555" s="135">
        <v>100000</v>
      </c>
      <c r="J555" s="135">
        <v>87735.337</v>
      </c>
      <c r="K555" s="135">
        <v>100000</v>
      </c>
      <c r="L555" s="121">
        <f t="shared" si="263"/>
        <v>100</v>
      </c>
    </row>
    <row r="556" spans="1:12" s="184" customFormat="1">
      <c r="A556" s="110" t="s">
        <v>704</v>
      </c>
      <c r="B556" s="111" t="s">
        <v>412</v>
      </c>
      <c r="C556" s="111" t="s">
        <v>432</v>
      </c>
      <c r="D556" s="111" t="s">
        <v>483</v>
      </c>
      <c r="E556" s="111" t="s">
        <v>705</v>
      </c>
      <c r="F556" s="111"/>
      <c r="G556" s="134">
        <f>G557</f>
        <v>0</v>
      </c>
      <c r="H556" s="134">
        <f t="shared" si="243"/>
        <v>50000</v>
      </c>
      <c r="I556" s="134">
        <f>I557</f>
        <v>50000</v>
      </c>
      <c r="J556" s="134">
        <f t="shared" ref="J556:J557" si="281">J557</f>
        <v>0</v>
      </c>
      <c r="K556" s="134">
        <f>K557</f>
        <v>50000</v>
      </c>
      <c r="L556" s="112">
        <f t="shared" si="263"/>
        <v>100</v>
      </c>
    </row>
    <row r="557" spans="1:12" s="184" customFormat="1">
      <c r="A557" s="119" t="s">
        <v>189</v>
      </c>
      <c r="B557" s="120" t="s">
        <v>412</v>
      </c>
      <c r="C557" s="120" t="s">
        <v>432</v>
      </c>
      <c r="D557" s="120" t="s">
        <v>483</v>
      </c>
      <c r="E557" s="120" t="s">
        <v>705</v>
      </c>
      <c r="F557" s="120" t="s">
        <v>84</v>
      </c>
      <c r="G557" s="135">
        <f>G558</f>
        <v>0</v>
      </c>
      <c r="H557" s="135">
        <f t="shared" si="243"/>
        <v>50000</v>
      </c>
      <c r="I557" s="135">
        <f>I558</f>
        <v>50000</v>
      </c>
      <c r="J557" s="135">
        <f t="shared" si="281"/>
        <v>0</v>
      </c>
      <c r="K557" s="135">
        <f>K558</f>
        <v>50000</v>
      </c>
      <c r="L557" s="121">
        <f t="shared" si="263"/>
        <v>100</v>
      </c>
    </row>
    <row r="558" spans="1:12" s="184" customFormat="1" ht="24">
      <c r="A558" s="119" t="s">
        <v>85</v>
      </c>
      <c r="B558" s="120" t="s">
        <v>412</v>
      </c>
      <c r="C558" s="120" t="s">
        <v>432</v>
      </c>
      <c r="D558" s="120" t="s">
        <v>483</v>
      </c>
      <c r="E558" s="120" t="s">
        <v>705</v>
      </c>
      <c r="F558" s="120" t="s">
        <v>86</v>
      </c>
      <c r="G558" s="135">
        <v>0</v>
      </c>
      <c r="H558" s="135">
        <f t="shared" si="243"/>
        <v>50000</v>
      </c>
      <c r="I558" s="135">
        <v>50000</v>
      </c>
      <c r="J558" s="135">
        <v>0</v>
      </c>
      <c r="K558" s="135">
        <v>50000</v>
      </c>
      <c r="L558" s="121">
        <f t="shared" si="263"/>
        <v>100</v>
      </c>
    </row>
    <row r="559" spans="1:12" s="184" customFormat="1" ht="24">
      <c r="A559" s="110" t="s">
        <v>755</v>
      </c>
      <c r="B559" s="111" t="s">
        <v>412</v>
      </c>
      <c r="C559" s="111" t="s">
        <v>432</v>
      </c>
      <c r="D559" s="111" t="s">
        <v>483</v>
      </c>
      <c r="E559" s="111" t="s">
        <v>756</v>
      </c>
      <c r="F559" s="120"/>
      <c r="G559" s="135"/>
      <c r="H559" s="134"/>
      <c r="I559" s="134">
        <f>I560</f>
        <v>11000</v>
      </c>
      <c r="J559" s="134">
        <f t="shared" ref="J559:J560" si="282">J560</f>
        <v>1132.6959999999999</v>
      </c>
      <c r="K559" s="134">
        <f>K560</f>
        <v>11000</v>
      </c>
      <c r="L559" s="112">
        <f t="shared" si="263"/>
        <v>100</v>
      </c>
    </row>
    <row r="560" spans="1:12" s="184" customFormat="1">
      <c r="A560" s="119" t="s">
        <v>189</v>
      </c>
      <c r="B560" s="120" t="s">
        <v>412</v>
      </c>
      <c r="C560" s="120" t="s">
        <v>432</v>
      </c>
      <c r="D560" s="120" t="s">
        <v>483</v>
      </c>
      <c r="E560" s="120" t="s">
        <v>756</v>
      </c>
      <c r="F560" s="120" t="s">
        <v>84</v>
      </c>
      <c r="G560" s="135"/>
      <c r="H560" s="134"/>
      <c r="I560" s="135">
        <f>I561</f>
        <v>11000</v>
      </c>
      <c r="J560" s="135">
        <f t="shared" si="282"/>
        <v>1132.6959999999999</v>
      </c>
      <c r="K560" s="135">
        <f>K561</f>
        <v>11000</v>
      </c>
      <c r="L560" s="121">
        <f t="shared" si="263"/>
        <v>100</v>
      </c>
    </row>
    <row r="561" spans="1:12" s="184" customFormat="1" ht="24">
      <c r="A561" s="119" t="s">
        <v>85</v>
      </c>
      <c r="B561" s="120" t="s">
        <v>412</v>
      </c>
      <c r="C561" s="120" t="s">
        <v>432</v>
      </c>
      <c r="D561" s="120" t="s">
        <v>483</v>
      </c>
      <c r="E561" s="120" t="s">
        <v>756</v>
      </c>
      <c r="F561" s="120" t="s">
        <v>86</v>
      </c>
      <c r="G561" s="135"/>
      <c r="H561" s="134"/>
      <c r="I561" s="135">
        <v>11000</v>
      </c>
      <c r="J561" s="135">
        <v>1132.6959999999999</v>
      </c>
      <c r="K561" s="135">
        <v>11000</v>
      </c>
      <c r="L561" s="121">
        <f t="shared" si="263"/>
        <v>100</v>
      </c>
    </row>
    <row r="562" spans="1:12" s="184" customFormat="1">
      <c r="A562" s="110" t="s">
        <v>380</v>
      </c>
      <c r="B562" s="111" t="s">
        <v>412</v>
      </c>
      <c r="C562" s="111" t="s">
        <v>432</v>
      </c>
      <c r="D562" s="111" t="s">
        <v>432</v>
      </c>
      <c r="E562" s="111"/>
      <c r="F562" s="111"/>
      <c r="G562" s="112">
        <f>G563</f>
        <v>6630</v>
      </c>
      <c r="H562" s="134">
        <f t="shared" si="243"/>
        <v>0</v>
      </c>
      <c r="I562" s="112">
        <f>I563</f>
        <v>6630</v>
      </c>
      <c r="J562" s="112">
        <f t="shared" ref="J562:J564" si="283">J563</f>
        <v>4525.4238800000003</v>
      </c>
      <c r="K562" s="112">
        <f>K563</f>
        <v>6630</v>
      </c>
      <c r="L562" s="112">
        <f t="shared" si="263"/>
        <v>100</v>
      </c>
    </row>
    <row r="563" spans="1:12" s="184" customFormat="1" ht="36">
      <c r="A563" s="124" t="s">
        <v>410</v>
      </c>
      <c r="B563" s="125" t="s">
        <v>412</v>
      </c>
      <c r="C563" s="125" t="s">
        <v>432</v>
      </c>
      <c r="D563" s="125" t="s">
        <v>432</v>
      </c>
      <c r="E563" s="125"/>
      <c r="F563" s="125"/>
      <c r="G563" s="126">
        <f>G564</f>
        <v>6630</v>
      </c>
      <c r="H563" s="134">
        <f t="shared" si="243"/>
        <v>0</v>
      </c>
      <c r="I563" s="126">
        <f>I564</f>
        <v>6630</v>
      </c>
      <c r="J563" s="126">
        <f t="shared" si="283"/>
        <v>4525.4238800000003</v>
      </c>
      <c r="K563" s="126">
        <f>K564</f>
        <v>6630</v>
      </c>
      <c r="L563" s="126">
        <f t="shared" si="263"/>
        <v>100</v>
      </c>
    </row>
    <row r="564" spans="1:12" s="184" customFormat="1">
      <c r="A564" s="145" t="s">
        <v>74</v>
      </c>
      <c r="B564" s="125" t="s">
        <v>412</v>
      </c>
      <c r="C564" s="125" t="s">
        <v>432</v>
      </c>
      <c r="D564" s="125" t="s">
        <v>432</v>
      </c>
      <c r="E564" s="125" t="s">
        <v>214</v>
      </c>
      <c r="F564" s="125"/>
      <c r="G564" s="126">
        <f>G565</f>
        <v>6630</v>
      </c>
      <c r="H564" s="134">
        <f t="shared" si="243"/>
        <v>0</v>
      </c>
      <c r="I564" s="126">
        <f>I565</f>
        <v>6630</v>
      </c>
      <c r="J564" s="126">
        <f t="shared" si="283"/>
        <v>4525.4238800000003</v>
      </c>
      <c r="K564" s="126">
        <f>K565</f>
        <v>6630</v>
      </c>
      <c r="L564" s="126">
        <f t="shared" si="263"/>
        <v>100</v>
      </c>
    </row>
    <row r="565" spans="1:12" s="184" customFormat="1">
      <c r="A565" s="127" t="s">
        <v>304</v>
      </c>
      <c r="B565" s="111" t="s">
        <v>412</v>
      </c>
      <c r="C565" s="111" t="s">
        <v>432</v>
      </c>
      <c r="D565" s="111" t="s">
        <v>432</v>
      </c>
      <c r="E565" s="111" t="s">
        <v>215</v>
      </c>
      <c r="F565" s="120"/>
      <c r="G565" s="112">
        <f>G566+G569</f>
        <v>6630</v>
      </c>
      <c r="H565" s="134">
        <f t="shared" si="243"/>
        <v>0</v>
      </c>
      <c r="I565" s="112">
        <f>I566+I569</f>
        <v>6630</v>
      </c>
      <c r="J565" s="112">
        <f t="shared" ref="J565" si="284">J566+J569</f>
        <v>4525.4238800000003</v>
      </c>
      <c r="K565" s="112">
        <f>K566+K569</f>
        <v>6630</v>
      </c>
      <c r="L565" s="112">
        <f t="shared" si="263"/>
        <v>100</v>
      </c>
    </row>
    <row r="566" spans="1:12" s="184" customFormat="1" ht="24">
      <c r="A566" s="127" t="s">
        <v>392</v>
      </c>
      <c r="B566" s="111" t="s">
        <v>412</v>
      </c>
      <c r="C566" s="111" t="s">
        <v>432</v>
      </c>
      <c r="D566" s="111" t="s">
        <v>432</v>
      </c>
      <c r="E566" s="111" t="s">
        <v>216</v>
      </c>
      <c r="F566" s="111"/>
      <c r="G566" s="112">
        <f>G567</f>
        <v>5670</v>
      </c>
      <c r="H566" s="134">
        <f t="shared" si="243"/>
        <v>0</v>
      </c>
      <c r="I566" s="112">
        <f>I567</f>
        <v>5670</v>
      </c>
      <c r="J566" s="112">
        <f t="shared" ref="J566:J567" si="285">J567</f>
        <v>4143.5</v>
      </c>
      <c r="K566" s="112">
        <f>K567</f>
        <v>5670</v>
      </c>
      <c r="L566" s="112">
        <f t="shared" si="263"/>
        <v>100</v>
      </c>
    </row>
    <row r="567" spans="1:12" s="184" customFormat="1" ht="36">
      <c r="A567" s="119" t="s">
        <v>79</v>
      </c>
      <c r="B567" s="120" t="s">
        <v>412</v>
      </c>
      <c r="C567" s="120" t="s">
        <v>432</v>
      </c>
      <c r="D567" s="120" t="s">
        <v>432</v>
      </c>
      <c r="E567" s="120" t="s">
        <v>216</v>
      </c>
      <c r="F567" s="120" t="s">
        <v>80</v>
      </c>
      <c r="G567" s="121">
        <f>G568</f>
        <v>5670</v>
      </c>
      <c r="H567" s="134">
        <f t="shared" si="243"/>
        <v>0</v>
      </c>
      <c r="I567" s="121">
        <f>I568</f>
        <v>5670</v>
      </c>
      <c r="J567" s="121">
        <f t="shared" si="285"/>
        <v>4143.5</v>
      </c>
      <c r="K567" s="121">
        <f>K568</f>
        <v>5670</v>
      </c>
      <c r="L567" s="121">
        <f t="shared" si="263"/>
        <v>100</v>
      </c>
    </row>
    <row r="568" spans="1:12" s="184" customFormat="1">
      <c r="A568" s="119" t="s">
        <v>81</v>
      </c>
      <c r="B568" s="120" t="s">
        <v>412</v>
      </c>
      <c r="C568" s="120" t="s">
        <v>432</v>
      </c>
      <c r="D568" s="120" t="s">
        <v>432</v>
      </c>
      <c r="E568" s="120" t="s">
        <v>216</v>
      </c>
      <c r="F568" s="120" t="s">
        <v>82</v>
      </c>
      <c r="G568" s="121">
        <f>4300+20+1300+20+30</f>
        <v>5670</v>
      </c>
      <c r="H568" s="134">
        <f t="shared" ref="H568:H625" si="286">I568-G568</f>
        <v>0</v>
      </c>
      <c r="I568" s="121">
        <f>4300+20+1300+20+30</f>
        <v>5670</v>
      </c>
      <c r="J568" s="121">
        <v>4143.5</v>
      </c>
      <c r="K568" s="121">
        <f>4300+20+1300+20+30</f>
        <v>5670</v>
      </c>
      <c r="L568" s="121">
        <f t="shared" si="263"/>
        <v>100</v>
      </c>
    </row>
    <row r="569" spans="1:12" s="184" customFormat="1">
      <c r="A569" s="110" t="s">
        <v>83</v>
      </c>
      <c r="B569" s="111" t="s">
        <v>412</v>
      </c>
      <c r="C569" s="111" t="s">
        <v>432</v>
      </c>
      <c r="D569" s="111" t="s">
        <v>432</v>
      </c>
      <c r="E569" s="111" t="s">
        <v>217</v>
      </c>
      <c r="F569" s="111"/>
      <c r="G569" s="112">
        <f>G570+G572</f>
        <v>960</v>
      </c>
      <c r="H569" s="134">
        <f t="shared" si="286"/>
        <v>0</v>
      </c>
      <c r="I569" s="112">
        <f>I570+I572</f>
        <v>960</v>
      </c>
      <c r="J569" s="112">
        <f t="shared" ref="J569" si="287">J570+J572</f>
        <v>381.92388</v>
      </c>
      <c r="K569" s="112">
        <f>K570+K572</f>
        <v>960</v>
      </c>
      <c r="L569" s="112">
        <f t="shared" si="263"/>
        <v>100</v>
      </c>
    </row>
    <row r="570" spans="1:12" s="184" customFormat="1">
      <c r="A570" s="119" t="s">
        <v>301</v>
      </c>
      <c r="B570" s="120" t="s">
        <v>412</v>
      </c>
      <c r="C570" s="120" t="s">
        <v>432</v>
      </c>
      <c r="D570" s="120" t="s">
        <v>432</v>
      </c>
      <c r="E570" s="120" t="s">
        <v>217</v>
      </c>
      <c r="F570" s="120" t="s">
        <v>84</v>
      </c>
      <c r="G570" s="121">
        <f>G571</f>
        <v>810</v>
      </c>
      <c r="H570" s="134">
        <f t="shared" si="286"/>
        <v>0</v>
      </c>
      <c r="I570" s="121">
        <f>I571</f>
        <v>810</v>
      </c>
      <c r="J570" s="121">
        <f t="shared" ref="J570" si="288">J571</f>
        <v>381.755</v>
      </c>
      <c r="K570" s="121">
        <f>K571</f>
        <v>810</v>
      </c>
      <c r="L570" s="121">
        <f t="shared" si="263"/>
        <v>100</v>
      </c>
    </row>
    <row r="571" spans="1:12" s="184" customFormat="1" ht="24">
      <c r="A571" s="119" t="s">
        <v>85</v>
      </c>
      <c r="B571" s="120" t="s">
        <v>412</v>
      </c>
      <c r="C571" s="120" t="s">
        <v>432</v>
      </c>
      <c r="D571" s="120" t="s">
        <v>432</v>
      </c>
      <c r="E571" s="120" t="s">
        <v>217</v>
      </c>
      <c r="F571" s="120" t="s">
        <v>86</v>
      </c>
      <c r="G571" s="121">
        <f>60+50+300+300+100</f>
        <v>810</v>
      </c>
      <c r="H571" s="134">
        <f t="shared" si="286"/>
        <v>0</v>
      </c>
      <c r="I571" s="121">
        <f>60+50+300+300+100</f>
        <v>810</v>
      </c>
      <c r="J571" s="121">
        <v>381.755</v>
      </c>
      <c r="K571" s="121">
        <f>60+50+300+300+100</f>
        <v>810</v>
      </c>
      <c r="L571" s="121">
        <f t="shared" si="263"/>
        <v>100</v>
      </c>
    </row>
    <row r="572" spans="1:12" s="184" customFormat="1">
      <c r="A572" s="119" t="s">
        <v>87</v>
      </c>
      <c r="B572" s="120" t="s">
        <v>412</v>
      </c>
      <c r="C572" s="120" t="s">
        <v>432</v>
      </c>
      <c r="D572" s="120" t="s">
        <v>432</v>
      </c>
      <c r="E572" s="120" t="s">
        <v>217</v>
      </c>
      <c r="F572" s="120" t="s">
        <v>88</v>
      </c>
      <c r="G572" s="121">
        <f>G573</f>
        <v>150</v>
      </c>
      <c r="H572" s="134">
        <f t="shared" si="286"/>
        <v>0</v>
      </c>
      <c r="I572" s="121">
        <f>I573</f>
        <v>150</v>
      </c>
      <c r="J572" s="121">
        <f t="shared" ref="J572" si="289">J573</f>
        <v>0.16888</v>
      </c>
      <c r="K572" s="121">
        <f>K573</f>
        <v>150</v>
      </c>
      <c r="L572" s="121">
        <f t="shared" si="263"/>
        <v>100</v>
      </c>
    </row>
    <row r="573" spans="1:12" s="184" customFormat="1">
      <c r="A573" s="119" t="s">
        <v>514</v>
      </c>
      <c r="B573" s="120" t="s">
        <v>412</v>
      </c>
      <c r="C573" s="120" t="s">
        <v>432</v>
      </c>
      <c r="D573" s="120" t="s">
        <v>432</v>
      </c>
      <c r="E573" s="120" t="s">
        <v>217</v>
      </c>
      <c r="F573" s="120" t="s">
        <v>89</v>
      </c>
      <c r="G573" s="121">
        <v>150</v>
      </c>
      <c r="H573" s="134">
        <f t="shared" si="286"/>
        <v>0</v>
      </c>
      <c r="I573" s="121">
        <v>150</v>
      </c>
      <c r="J573" s="121">
        <v>0.16888</v>
      </c>
      <c r="K573" s="121">
        <v>150</v>
      </c>
      <c r="L573" s="121">
        <f t="shared" si="263"/>
        <v>100</v>
      </c>
    </row>
    <row r="574" spans="1:12" s="184" customFormat="1">
      <c r="A574" s="110" t="s">
        <v>381</v>
      </c>
      <c r="B574" s="111" t="s">
        <v>412</v>
      </c>
      <c r="C574" s="111" t="s">
        <v>490</v>
      </c>
      <c r="D574" s="111" t="s">
        <v>77</v>
      </c>
      <c r="E574" s="111"/>
      <c r="F574" s="111"/>
      <c r="G574" s="112">
        <f>G575+G580</f>
        <v>77500</v>
      </c>
      <c r="H574" s="134">
        <f t="shared" si="286"/>
        <v>12950</v>
      </c>
      <c r="I574" s="112">
        <f>I575+I580</f>
        <v>90450</v>
      </c>
      <c r="J574" s="112">
        <f t="shared" ref="J574" si="290">J575+J580</f>
        <v>54037.741000000002</v>
      </c>
      <c r="K574" s="112">
        <f>K575+K580</f>
        <v>54700</v>
      </c>
      <c r="L574" s="112">
        <f t="shared" si="263"/>
        <v>60.475400773908241</v>
      </c>
    </row>
    <row r="575" spans="1:12" s="184" customFormat="1">
      <c r="A575" s="165" t="s">
        <v>382</v>
      </c>
      <c r="B575" s="111" t="s">
        <v>412</v>
      </c>
      <c r="C575" s="111" t="s">
        <v>490</v>
      </c>
      <c r="D575" s="111" t="s">
        <v>76</v>
      </c>
      <c r="E575" s="111"/>
      <c r="F575" s="111"/>
      <c r="G575" s="112">
        <f>G576</f>
        <v>500</v>
      </c>
      <c r="H575" s="134">
        <f t="shared" si="286"/>
        <v>500</v>
      </c>
      <c r="I575" s="112">
        <f>I576</f>
        <v>1000</v>
      </c>
      <c r="J575" s="112">
        <f t="shared" ref="J575:J578" si="291">J576</f>
        <v>1000</v>
      </c>
      <c r="K575" s="112">
        <f>K576</f>
        <v>1000</v>
      </c>
      <c r="L575" s="112">
        <f t="shared" si="263"/>
        <v>100</v>
      </c>
    </row>
    <row r="576" spans="1:12" s="184" customFormat="1" ht="27">
      <c r="A576" s="123" t="s">
        <v>694</v>
      </c>
      <c r="B576" s="114" t="s">
        <v>412</v>
      </c>
      <c r="C576" s="114" t="s">
        <v>490</v>
      </c>
      <c r="D576" s="114" t="s">
        <v>76</v>
      </c>
      <c r="E576" s="114" t="s">
        <v>272</v>
      </c>
      <c r="F576" s="114"/>
      <c r="G576" s="115">
        <f>G577</f>
        <v>500</v>
      </c>
      <c r="H576" s="134">
        <f t="shared" si="286"/>
        <v>500</v>
      </c>
      <c r="I576" s="115">
        <f>I577</f>
        <v>1000</v>
      </c>
      <c r="J576" s="115">
        <f t="shared" si="291"/>
        <v>1000</v>
      </c>
      <c r="K576" s="115">
        <f>K577</f>
        <v>1000</v>
      </c>
      <c r="L576" s="115">
        <f t="shared" si="263"/>
        <v>100</v>
      </c>
    </row>
    <row r="577" spans="1:12" s="184" customFormat="1" ht="48">
      <c r="A577" s="110" t="s">
        <v>36</v>
      </c>
      <c r="B577" s="111" t="s">
        <v>412</v>
      </c>
      <c r="C577" s="111" t="s">
        <v>490</v>
      </c>
      <c r="D577" s="111" t="s">
        <v>76</v>
      </c>
      <c r="E577" s="111" t="s">
        <v>638</v>
      </c>
      <c r="F577" s="111"/>
      <c r="G577" s="112">
        <f>G578</f>
        <v>500</v>
      </c>
      <c r="H577" s="134">
        <f t="shared" si="286"/>
        <v>500</v>
      </c>
      <c r="I577" s="112">
        <f>I578</f>
        <v>1000</v>
      </c>
      <c r="J577" s="112">
        <f t="shared" si="291"/>
        <v>1000</v>
      </c>
      <c r="K577" s="112">
        <f>K578</f>
        <v>1000</v>
      </c>
      <c r="L577" s="112">
        <f t="shared" si="263"/>
        <v>100</v>
      </c>
    </row>
    <row r="578" spans="1:12" s="184" customFormat="1">
      <c r="A578" s="119" t="s">
        <v>161</v>
      </c>
      <c r="B578" s="120" t="s">
        <v>412</v>
      </c>
      <c r="C578" s="120" t="s">
        <v>490</v>
      </c>
      <c r="D578" s="120" t="s">
        <v>76</v>
      </c>
      <c r="E578" s="120" t="s">
        <v>638</v>
      </c>
      <c r="F578" s="120" t="s">
        <v>84</v>
      </c>
      <c r="G578" s="121">
        <f>G579</f>
        <v>500</v>
      </c>
      <c r="H578" s="134">
        <f t="shared" si="286"/>
        <v>500</v>
      </c>
      <c r="I578" s="121">
        <f>I579</f>
        <v>1000</v>
      </c>
      <c r="J578" s="121">
        <f t="shared" si="291"/>
        <v>1000</v>
      </c>
      <c r="K578" s="121">
        <f>K579</f>
        <v>1000</v>
      </c>
      <c r="L578" s="121">
        <f t="shared" si="263"/>
        <v>100</v>
      </c>
    </row>
    <row r="579" spans="1:12" s="184" customFormat="1" ht="24">
      <c r="A579" s="119" t="s">
        <v>85</v>
      </c>
      <c r="B579" s="120" t="s">
        <v>412</v>
      </c>
      <c r="C579" s="120" t="s">
        <v>490</v>
      </c>
      <c r="D579" s="120" t="s">
        <v>76</v>
      </c>
      <c r="E579" s="120" t="s">
        <v>638</v>
      </c>
      <c r="F579" s="120" t="s">
        <v>86</v>
      </c>
      <c r="G579" s="121">
        <v>500</v>
      </c>
      <c r="H579" s="134">
        <f t="shared" si="286"/>
        <v>500</v>
      </c>
      <c r="I579" s="121">
        <f>500+500</f>
        <v>1000</v>
      </c>
      <c r="J579" s="121">
        <v>1000</v>
      </c>
      <c r="K579" s="121">
        <f>500+500</f>
        <v>1000</v>
      </c>
      <c r="L579" s="121">
        <f t="shared" si="263"/>
        <v>100</v>
      </c>
    </row>
    <row r="580" spans="1:12" s="184" customFormat="1">
      <c r="A580" s="110" t="s">
        <v>385</v>
      </c>
      <c r="B580" s="111" t="s">
        <v>412</v>
      </c>
      <c r="C580" s="111" t="s">
        <v>490</v>
      </c>
      <c r="D580" s="111" t="s">
        <v>484</v>
      </c>
      <c r="E580" s="120"/>
      <c r="F580" s="111"/>
      <c r="G580" s="112">
        <f>G581</f>
        <v>77000</v>
      </c>
      <c r="H580" s="134">
        <f t="shared" si="286"/>
        <v>12450</v>
      </c>
      <c r="I580" s="112">
        <f>I581</f>
        <v>89450</v>
      </c>
      <c r="J580" s="112">
        <f t="shared" ref="J580" si="292">J581</f>
        <v>53037.741000000002</v>
      </c>
      <c r="K580" s="112">
        <f>K581</f>
        <v>53700</v>
      </c>
      <c r="L580" s="112">
        <f t="shared" ref="L580:L604" si="293">K580/I580*100</f>
        <v>60.033538289547231</v>
      </c>
    </row>
    <row r="581" spans="1:12" s="184" customFormat="1" ht="27">
      <c r="A581" s="123" t="s">
        <v>694</v>
      </c>
      <c r="B581" s="114" t="s">
        <v>412</v>
      </c>
      <c r="C581" s="114" t="s">
        <v>490</v>
      </c>
      <c r="D581" s="114" t="s">
        <v>484</v>
      </c>
      <c r="E581" s="114" t="s">
        <v>272</v>
      </c>
      <c r="F581" s="114"/>
      <c r="G581" s="115">
        <f>G582+G585+G588+G591</f>
        <v>77000</v>
      </c>
      <c r="H581" s="162">
        <f t="shared" si="286"/>
        <v>12450</v>
      </c>
      <c r="I581" s="115">
        <f>I582+I585+I588+I591</f>
        <v>89450</v>
      </c>
      <c r="J581" s="115">
        <f t="shared" ref="J581" si="294">J582+J585+J588+J591</f>
        <v>53037.741000000002</v>
      </c>
      <c r="K581" s="115">
        <f>K582+K585+K588+K591</f>
        <v>53700</v>
      </c>
      <c r="L581" s="115">
        <f t="shared" si="293"/>
        <v>60.033538289547231</v>
      </c>
    </row>
    <row r="582" spans="1:12" s="184" customFormat="1">
      <c r="A582" s="141" t="s">
        <v>174</v>
      </c>
      <c r="B582" s="111" t="s">
        <v>412</v>
      </c>
      <c r="C582" s="111" t="s">
        <v>490</v>
      </c>
      <c r="D582" s="111" t="s">
        <v>484</v>
      </c>
      <c r="E582" s="163" t="s">
        <v>646</v>
      </c>
      <c r="F582" s="111"/>
      <c r="G582" s="112">
        <f>G583</f>
        <v>40000</v>
      </c>
      <c r="H582" s="134">
        <f t="shared" si="286"/>
        <v>12950</v>
      </c>
      <c r="I582" s="112">
        <f>I583</f>
        <v>52950</v>
      </c>
      <c r="J582" s="112">
        <f t="shared" ref="J582:J583" si="295">J583</f>
        <v>52398.010999999999</v>
      </c>
      <c r="K582" s="112">
        <f>K583</f>
        <v>52950</v>
      </c>
      <c r="L582" s="112">
        <f t="shared" si="293"/>
        <v>100</v>
      </c>
    </row>
    <row r="583" spans="1:12" s="184" customFormat="1">
      <c r="A583" s="119" t="s">
        <v>301</v>
      </c>
      <c r="B583" s="120" t="s">
        <v>412</v>
      </c>
      <c r="C583" s="120" t="s">
        <v>490</v>
      </c>
      <c r="D583" s="120" t="s">
        <v>484</v>
      </c>
      <c r="E583" s="164" t="s">
        <v>646</v>
      </c>
      <c r="F583" s="120" t="s">
        <v>84</v>
      </c>
      <c r="G583" s="121">
        <f>G584</f>
        <v>40000</v>
      </c>
      <c r="H583" s="135">
        <f t="shared" si="286"/>
        <v>12950</v>
      </c>
      <c r="I583" s="121">
        <f>I584</f>
        <v>52950</v>
      </c>
      <c r="J583" s="121">
        <f t="shared" si="295"/>
        <v>52398.010999999999</v>
      </c>
      <c r="K583" s="121">
        <f>K584</f>
        <v>52950</v>
      </c>
      <c r="L583" s="121">
        <f t="shared" si="293"/>
        <v>100</v>
      </c>
    </row>
    <row r="584" spans="1:12" s="184" customFormat="1" ht="24">
      <c r="A584" s="119" t="s">
        <v>85</v>
      </c>
      <c r="B584" s="120" t="s">
        <v>412</v>
      </c>
      <c r="C584" s="120" t="s">
        <v>490</v>
      </c>
      <c r="D584" s="120" t="s">
        <v>484</v>
      </c>
      <c r="E584" s="164" t="s">
        <v>646</v>
      </c>
      <c r="F584" s="120" t="s">
        <v>86</v>
      </c>
      <c r="G584" s="121">
        <v>40000</v>
      </c>
      <c r="H584" s="135">
        <f t="shared" si="286"/>
        <v>12950</v>
      </c>
      <c r="I584" s="121">
        <f>40000-8000+20950</f>
        <v>52950</v>
      </c>
      <c r="J584" s="121">
        <v>52398.010999999999</v>
      </c>
      <c r="K584" s="121">
        <f>40000-8000+20950</f>
        <v>52950</v>
      </c>
      <c r="L584" s="121">
        <f t="shared" si="293"/>
        <v>100</v>
      </c>
    </row>
    <row r="585" spans="1:12" s="184" customFormat="1" ht="24">
      <c r="A585" s="110" t="s">
        <v>352</v>
      </c>
      <c r="B585" s="111" t="s">
        <v>412</v>
      </c>
      <c r="C585" s="111" t="s">
        <v>490</v>
      </c>
      <c r="D585" s="111" t="s">
        <v>484</v>
      </c>
      <c r="E585" s="163" t="s">
        <v>647</v>
      </c>
      <c r="F585" s="111"/>
      <c r="G585" s="112">
        <f>G586</f>
        <v>32000</v>
      </c>
      <c r="H585" s="134">
        <f t="shared" si="286"/>
        <v>0</v>
      </c>
      <c r="I585" s="112">
        <f>I586</f>
        <v>32000</v>
      </c>
      <c r="J585" s="134">
        <f t="shared" ref="J585:J586" si="296">J586</f>
        <v>0</v>
      </c>
      <c r="K585" s="134">
        <f>K586</f>
        <v>0</v>
      </c>
      <c r="L585" s="134">
        <f t="shared" si="293"/>
        <v>0</v>
      </c>
    </row>
    <row r="586" spans="1:12" s="184" customFormat="1" ht="24">
      <c r="A586" s="119" t="s">
        <v>226</v>
      </c>
      <c r="B586" s="120" t="s">
        <v>412</v>
      </c>
      <c r="C586" s="120" t="s">
        <v>490</v>
      </c>
      <c r="D586" s="120" t="s">
        <v>484</v>
      </c>
      <c r="E586" s="120" t="s">
        <v>647</v>
      </c>
      <c r="F586" s="120" t="s">
        <v>434</v>
      </c>
      <c r="G586" s="121">
        <f>G587</f>
        <v>32000</v>
      </c>
      <c r="H586" s="134">
        <f t="shared" si="286"/>
        <v>0</v>
      </c>
      <c r="I586" s="121">
        <f>I587</f>
        <v>32000</v>
      </c>
      <c r="J586" s="135">
        <f t="shared" si="296"/>
        <v>0</v>
      </c>
      <c r="K586" s="135">
        <f>K587</f>
        <v>0</v>
      </c>
      <c r="L586" s="135">
        <f t="shared" si="293"/>
        <v>0</v>
      </c>
    </row>
    <row r="587" spans="1:12" s="184" customFormat="1">
      <c r="A587" s="119" t="s">
        <v>435</v>
      </c>
      <c r="B587" s="120" t="s">
        <v>412</v>
      </c>
      <c r="C587" s="120" t="s">
        <v>490</v>
      </c>
      <c r="D587" s="120" t="s">
        <v>484</v>
      </c>
      <c r="E587" s="120" t="s">
        <v>647</v>
      </c>
      <c r="F587" s="120" t="s">
        <v>436</v>
      </c>
      <c r="G587" s="121">
        <v>32000</v>
      </c>
      <c r="H587" s="134">
        <f t="shared" si="286"/>
        <v>0</v>
      </c>
      <c r="I587" s="121">
        <v>32000</v>
      </c>
      <c r="J587" s="135">
        <v>0</v>
      </c>
      <c r="K587" s="135">
        <f>32000-32000</f>
        <v>0</v>
      </c>
      <c r="L587" s="135">
        <f t="shared" si="293"/>
        <v>0</v>
      </c>
    </row>
    <row r="588" spans="1:12" s="205" customFormat="1" ht="24">
      <c r="A588" s="110" t="s">
        <v>648</v>
      </c>
      <c r="B588" s="111" t="s">
        <v>412</v>
      </c>
      <c r="C588" s="111" t="s">
        <v>490</v>
      </c>
      <c r="D588" s="111" t="s">
        <v>484</v>
      </c>
      <c r="E588" s="111" t="s">
        <v>649</v>
      </c>
      <c r="F588" s="111"/>
      <c r="G588" s="112">
        <f>G589</f>
        <v>2000</v>
      </c>
      <c r="H588" s="134">
        <f t="shared" si="286"/>
        <v>-500</v>
      </c>
      <c r="I588" s="112">
        <f>I589</f>
        <v>1500</v>
      </c>
      <c r="J588" s="134">
        <f t="shared" ref="J588:J589" si="297">J589</f>
        <v>0</v>
      </c>
      <c r="K588" s="134">
        <f>K589</f>
        <v>0</v>
      </c>
      <c r="L588" s="134">
        <f t="shared" si="293"/>
        <v>0</v>
      </c>
    </row>
    <row r="589" spans="1:12" s="205" customFormat="1" ht="24">
      <c r="A589" s="119" t="s">
        <v>226</v>
      </c>
      <c r="B589" s="120" t="s">
        <v>412</v>
      </c>
      <c r="C589" s="120" t="s">
        <v>490</v>
      </c>
      <c r="D589" s="120" t="s">
        <v>484</v>
      </c>
      <c r="E589" s="120" t="s">
        <v>649</v>
      </c>
      <c r="F589" s="120" t="s">
        <v>434</v>
      </c>
      <c r="G589" s="121">
        <f>G590</f>
        <v>2000</v>
      </c>
      <c r="H589" s="134">
        <f t="shared" si="286"/>
        <v>-500</v>
      </c>
      <c r="I589" s="121">
        <f>I590</f>
        <v>1500</v>
      </c>
      <c r="J589" s="135">
        <f t="shared" si="297"/>
        <v>0</v>
      </c>
      <c r="K589" s="135">
        <f>K590</f>
        <v>0</v>
      </c>
      <c r="L589" s="135">
        <f t="shared" si="293"/>
        <v>0</v>
      </c>
    </row>
    <row r="590" spans="1:12" s="205" customFormat="1">
      <c r="A590" s="119" t="s">
        <v>435</v>
      </c>
      <c r="B590" s="120" t="s">
        <v>412</v>
      </c>
      <c r="C590" s="120" t="s">
        <v>490</v>
      </c>
      <c r="D590" s="120" t="s">
        <v>484</v>
      </c>
      <c r="E590" s="120" t="s">
        <v>649</v>
      </c>
      <c r="F590" s="120" t="s">
        <v>436</v>
      </c>
      <c r="G590" s="121">
        <v>2000</v>
      </c>
      <c r="H590" s="134">
        <f t="shared" si="286"/>
        <v>-500</v>
      </c>
      <c r="I590" s="121">
        <f>2000-500</f>
        <v>1500</v>
      </c>
      <c r="J590" s="135">
        <v>0</v>
      </c>
      <c r="K590" s="135">
        <f>2000-500-1500</f>
        <v>0</v>
      </c>
      <c r="L590" s="135">
        <f t="shared" si="293"/>
        <v>0</v>
      </c>
    </row>
    <row r="591" spans="1:12" s="205" customFormat="1">
      <c r="A591" s="141" t="s">
        <v>136</v>
      </c>
      <c r="B591" s="111" t="s">
        <v>412</v>
      </c>
      <c r="C591" s="111" t="s">
        <v>490</v>
      </c>
      <c r="D591" s="111" t="s">
        <v>484</v>
      </c>
      <c r="E591" s="163" t="s">
        <v>640</v>
      </c>
      <c r="F591" s="111"/>
      <c r="G591" s="134">
        <f>G592</f>
        <v>3000</v>
      </c>
      <c r="H591" s="134">
        <f t="shared" si="286"/>
        <v>0</v>
      </c>
      <c r="I591" s="134">
        <f>I592</f>
        <v>3000</v>
      </c>
      <c r="J591" s="134">
        <f t="shared" ref="J591:J592" si="298">J592</f>
        <v>639.73</v>
      </c>
      <c r="K591" s="134">
        <f>K592</f>
        <v>750</v>
      </c>
      <c r="L591" s="112">
        <f t="shared" si="293"/>
        <v>25</v>
      </c>
    </row>
    <row r="592" spans="1:12" s="205" customFormat="1">
      <c r="A592" s="119" t="s">
        <v>301</v>
      </c>
      <c r="B592" s="120" t="s">
        <v>412</v>
      </c>
      <c r="C592" s="120" t="s">
        <v>490</v>
      </c>
      <c r="D592" s="120" t="s">
        <v>484</v>
      </c>
      <c r="E592" s="120" t="s">
        <v>640</v>
      </c>
      <c r="F592" s="120" t="s">
        <v>84</v>
      </c>
      <c r="G592" s="135">
        <f>G593</f>
        <v>3000</v>
      </c>
      <c r="H592" s="134">
        <f t="shared" si="286"/>
        <v>0</v>
      </c>
      <c r="I592" s="135">
        <f>I593</f>
        <v>3000</v>
      </c>
      <c r="J592" s="135">
        <f t="shared" si="298"/>
        <v>639.73</v>
      </c>
      <c r="K592" s="135">
        <f>K593</f>
        <v>750</v>
      </c>
      <c r="L592" s="121">
        <f t="shared" si="293"/>
        <v>25</v>
      </c>
    </row>
    <row r="593" spans="1:12" s="205" customFormat="1" ht="24">
      <c r="A593" s="119" t="s">
        <v>85</v>
      </c>
      <c r="B593" s="120" t="s">
        <v>412</v>
      </c>
      <c r="C593" s="120" t="s">
        <v>490</v>
      </c>
      <c r="D593" s="120" t="s">
        <v>484</v>
      </c>
      <c r="E593" s="120" t="s">
        <v>640</v>
      </c>
      <c r="F593" s="120" t="s">
        <v>86</v>
      </c>
      <c r="G593" s="135">
        <v>3000</v>
      </c>
      <c r="H593" s="134">
        <f t="shared" si="286"/>
        <v>0</v>
      </c>
      <c r="I593" s="135">
        <v>3000</v>
      </c>
      <c r="J593" s="135">
        <v>639.73</v>
      </c>
      <c r="K593" s="135">
        <f>3000-2200-50</f>
        <v>750</v>
      </c>
      <c r="L593" s="121">
        <f t="shared" si="293"/>
        <v>25</v>
      </c>
    </row>
    <row r="594" spans="1:12" s="205" customFormat="1">
      <c r="A594" s="110" t="s">
        <v>396</v>
      </c>
      <c r="B594" s="111" t="s">
        <v>412</v>
      </c>
      <c r="C594" s="111" t="s">
        <v>488</v>
      </c>
      <c r="D594" s="111" t="s">
        <v>77</v>
      </c>
      <c r="E594" s="111"/>
      <c r="F594" s="111"/>
      <c r="G594" s="112">
        <f>G595</f>
        <v>13000</v>
      </c>
      <c r="H594" s="134">
        <f t="shared" si="286"/>
        <v>8000</v>
      </c>
      <c r="I594" s="112">
        <f>I595</f>
        <v>21000</v>
      </c>
      <c r="J594" s="112">
        <f t="shared" ref="J594:J595" si="299">J595</f>
        <v>18192.266</v>
      </c>
      <c r="K594" s="112">
        <f>K595</f>
        <v>18242.05</v>
      </c>
      <c r="L594" s="112">
        <f t="shared" si="293"/>
        <v>86.866904761904763</v>
      </c>
    </row>
    <row r="595" spans="1:12" s="205" customFormat="1">
      <c r="A595" s="110" t="s">
        <v>468</v>
      </c>
      <c r="B595" s="111" t="s">
        <v>412</v>
      </c>
      <c r="C595" s="111" t="s">
        <v>488</v>
      </c>
      <c r="D595" s="111" t="s">
        <v>78</v>
      </c>
      <c r="E595" s="111"/>
      <c r="F595" s="111"/>
      <c r="G595" s="112">
        <f>G596</f>
        <v>13000</v>
      </c>
      <c r="H595" s="134">
        <f t="shared" si="286"/>
        <v>8000</v>
      </c>
      <c r="I595" s="112">
        <f>I596</f>
        <v>21000</v>
      </c>
      <c r="J595" s="112">
        <f t="shared" si="299"/>
        <v>18192.266</v>
      </c>
      <c r="K595" s="112">
        <f>K596</f>
        <v>18242.05</v>
      </c>
      <c r="L595" s="112">
        <f t="shared" si="293"/>
        <v>86.866904761904763</v>
      </c>
    </row>
    <row r="596" spans="1:12" s="205" customFormat="1" ht="27">
      <c r="A596" s="123" t="s">
        <v>694</v>
      </c>
      <c r="B596" s="114" t="s">
        <v>412</v>
      </c>
      <c r="C596" s="114" t="s">
        <v>488</v>
      </c>
      <c r="D596" s="114" t="s">
        <v>78</v>
      </c>
      <c r="E596" s="114" t="s">
        <v>272</v>
      </c>
      <c r="F596" s="114"/>
      <c r="G596" s="115">
        <f>G597+G600</f>
        <v>13000</v>
      </c>
      <c r="H596" s="162">
        <f t="shared" si="286"/>
        <v>8000</v>
      </c>
      <c r="I596" s="115">
        <f>I597+I600</f>
        <v>21000</v>
      </c>
      <c r="J596" s="115">
        <f t="shared" ref="J596" si="300">J597+J600</f>
        <v>18192.266</v>
      </c>
      <c r="K596" s="115">
        <f>K597+K600</f>
        <v>18242.05</v>
      </c>
      <c r="L596" s="115">
        <f t="shared" si="293"/>
        <v>86.866904761904763</v>
      </c>
    </row>
    <row r="597" spans="1:12" s="205" customFormat="1" ht="24">
      <c r="A597" s="110" t="s">
        <v>706</v>
      </c>
      <c r="B597" s="111" t="s">
        <v>412</v>
      </c>
      <c r="C597" s="111" t="s">
        <v>488</v>
      </c>
      <c r="D597" s="111" t="s">
        <v>78</v>
      </c>
      <c r="E597" s="111" t="s">
        <v>650</v>
      </c>
      <c r="F597" s="111"/>
      <c r="G597" s="112">
        <f>G598</f>
        <v>10000</v>
      </c>
      <c r="H597" s="134">
        <f t="shared" si="286"/>
        <v>8000</v>
      </c>
      <c r="I597" s="112">
        <f>I598</f>
        <v>18000</v>
      </c>
      <c r="J597" s="112">
        <f t="shared" ref="J597:J598" si="301">J598</f>
        <v>17972.05</v>
      </c>
      <c r="K597" s="112">
        <f>K598</f>
        <v>17972.05</v>
      </c>
      <c r="L597" s="112">
        <f t="shared" si="293"/>
        <v>99.844722222222217</v>
      </c>
    </row>
    <row r="598" spans="1:12" s="205" customFormat="1" ht="24">
      <c r="A598" s="119" t="s">
        <v>226</v>
      </c>
      <c r="B598" s="120" t="s">
        <v>412</v>
      </c>
      <c r="C598" s="120" t="s">
        <v>488</v>
      </c>
      <c r="D598" s="120" t="s">
        <v>78</v>
      </c>
      <c r="E598" s="120" t="s">
        <v>650</v>
      </c>
      <c r="F598" s="120" t="s">
        <v>434</v>
      </c>
      <c r="G598" s="121">
        <f>G599</f>
        <v>10000</v>
      </c>
      <c r="H598" s="135">
        <f t="shared" si="286"/>
        <v>8000</v>
      </c>
      <c r="I598" s="121">
        <f>I599</f>
        <v>18000</v>
      </c>
      <c r="J598" s="121">
        <f t="shared" si="301"/>
        <v>17972.05</v>
      </c>
      <c r="K598" s="121">
        <f>K599</f>
        <v>17972.05</v>
      </c>
      <c r="L598" s="121">
        <f t="shared" si="293"/>
        <v>99.844722222222217</v>
      </c>
    </row>
    <row r="599" spans="1:12" s="122" customFormat="1">
      <c r="A599" s="119" t="s">
        <v>435</v>
      </c>
      <c r="B599" s="120" t="s">
        <v>412</v>
      </c>
      <c r="C599" s="120" t="s">
        <v>488</v>
      </c>
      <c r="D599" s="120" t="s">
        <v>78</v>
      </c>
      <c r="E599" s="120" t="s">
        <v>650</v>
      </c>
      <c r="F599" s="120" t="s">
        <v>436</v>
      </c>
      <c r="G599" s="121">
        <v>10000</v>
      </c>
      <c r="H599" s="135">
        <f t="shared" si="286"/>
        <v>8000</v>
      </c>
      <c r="I599" s="121">
        <f>10000+8000</f>
        <v>18000</v>
      </c>
      <c r="J599" s="121">
        <v>17972.05</v>
      </c>
      <c r="K599" s="121">
        <f>10000+8000-27.95</f>
        <v>17972.05</v>
      </c>
      <c r="L599" s="121">
        <f t="shared" si="293"/>
        <v>99.844722222222217</v>
      </c>
    </row>
    <row r="600" spans="1:12" s="122" customFormat="1">
      <c r="A600" s="141" t="s">
        <v>136</v>
      </c>
      <c r="B600" s="111" t="s">
        <v>412</v>
      </c>
      <c r="C600" s="111" t="s">
        <v>488</v>
      </c>
      <c r="D600" s="111" t="s">
        <v>78</v>
      </c>
      <c r="E600" s="111" t="s">
        <v>640</v>
      </c>
      <c r="F600" s="111"/>
      <c r="G600" s="112">
        <f>G601+G603</f>
        <v>3000</v>
      </c>
      <c r="H600" s="134">
        <f t="shared" si="286"/>
        <v>0</v>
      </c>
      <c r="I600" s="112">
        <f>I601+I603</f>
        <v>3000</v>
      </c>
      <c r="J600" s="112">
        <f t="shared" ref="J600" si="302">J601+J603</f>
        <v>220.21600000000001</v>
      </c>
      <c r="K600" s="112">
        <f>K601+K603</f>
        <v>270</v>
      </c>
      <c r="L600" s="112">
        <f t="shared" si="293"/>
        <v>9</v>
      </c>
    </row>
    <row r="601" spans="1:12" s="122" customFormat="1">
      <c r="A601" s="119" t="s">
        <v>301</v>
      </c>
      <c r="B601" s="120" t="s">
        <v>412</v>
      </c>
      <c r="C601" s="120" t="s">
        <v>488</v>
      </c>
      <c r="D601" s="120" t="s">
        <v>78</v>
      </c>
      <c r="E601" s="120" t="s">
        <v>640</v>
      </c>
      <c r="F601" s="120" t="s">
        <v>84</v>
      </c>
      <c r="G601" s="121">
        <f>G602</f>
        <v>500</v>
      </c>
      <c r="H601" s="134">
        <f t="shared" si="286"/>
        <v>0</v>
      </c>
      <c r="I601" s="121">
        <f>I602</f>
        <v>500</v>
      </c>
      <c r="J601" s="121">
        <f t="shared" ref="J601" si="303">J602</f>
        <v>220.21600000000001</v>
      </c>
      <c r="K601" s="121">
        <f>K602</f>
        <v>270</v>
      </c>
      <c r="L601" s="121">
        <f t="shared" si="293"/>
        <v>54</v>
      </c>
    </row>
    <row r="602" spans="1:12" s="122" customFormat="1" ht="24">
      <c r="A602" s="119" t="s">
        <v>85</v>
      </c>
      <c r="B602" s="120" t="s">
        <v>412</v>
      </c>
      <c r="C602" s="120" t="s">
        <v>488</v>
      </c>
      <c r="D602" s="120" t="s">
        <v>78</v>
      </c>
      <c r="E602" s="120" t="s">
        <v>640</v>
      </c>
      <c r="F602" s="120" t="s">
        <v>86</v>
      </c>
      <c r="G602" s="121">
        <v>500</v>
      </c>
      <c r="H602" s="134">
        <f t="shared" si="286"/>
        <v>0</v>
      </c>
      <c r="I602" s="121">
        <v>500</v>
      </c>
      <c r="J602" s="121">
        <v>220.21600000000001</v>
      </c>
      <c r="K602" s="121">
        <f>500-230</f>
        <v>270</v>
      </c>
      <c r="L602" s="121">
        <f t="shared" si="293"/>
        <v>54</v>
      </c>
    </row>
    <row r="603" spans="1:12" s="122" customFormat="1" ht="24">
      <c r="A603" s="119" t="s">
        <v>226</v>
      </c>
      <c r="B603" s="120" t="s">
        <v>412</v>
      </c>
      <c r="C603" s="120" t="s">
        <v>488</v>
      </c>
      <c r="D603" s="120" t="s">
        <v>78</v>
      </c>
      <c r="E603" s="120" t="s">
        <v>640</v>
      </c>
      <c r="F603" s="120" t="s">
        <v>434</v>
      </c>
      <c r="G603" s="121">
        <f>G604</f>
        <v>2500</v>
      </c>
      <c r="H603" s="134">
        <f t="shared" si="286"/>
        <v>0</v>
      </c>
      <c r="I603" s="121">
        <f>I604</f>
        <v>2500</v>
      </c>
      <c r="J603" s="135">
        <f t="shared" ref="J603" si="304">J604</f>
        <v>0</v>
      </c>
      <c r="K603" s="135">
        <f>K604</f>
        <v>0</v>
      </c>
      <c r="L603" s="135">
        <f t="shared" si="293"/>
        <v>0</v>
      </c>
    </row>
    <row r="604" spans="1:12" s="122" customFormat="1">
      <c r="A604" s="119" t="s">
        <v>435</v>
      </c>
      <c r="B604" s="120" t="s">
        <v>412</v>
      </c>
      <c r="C604" s="120" t="s">
        <v>488</v>
      </c>
      <c r="D604" s="120" t="s">
        <v>78</v>
      </c>
      <c r="E604" s="120" t="s">
        <v>640</v>
      </c>
      <c r="F604" s="120" t="s">
        <v>436</v>
      </c>
      <c r="G604" s="121">
        <v>2500</v>
      </c>
      <c r="H604" s="134">
        <f t="shared" si="286"/>
        <v>0</v>
      </c>
      <c r="I604" s="121">
        <v>2500</v>
      </c>
      <c r="J604" s="135">
        <v>0</v>
      </c>
      <c r="K604" s="135">
        <f>2500-2500</f>
        <v>0</v>
      </c>
      <c r="L604" s="135">
        <f t="shared" si="293"/>
        <v>0</v>
      </c>
    </row>
    <row r="605" spans="1:12" s="122" customFormat="1" ht="47.25">
      <c r="A605" s="113" t="s">
        <v>422</v>
      </c>
      <c r="B605" s="116" t="s">
        <v>423</v>
      </c>
      <c r="C605" s="117"/>
      <c r="D605" s="117"/>
      <c r="E605" s="125"/>
      <c r="F605" s="116"/>
      <c r="G605" s="118" t="e">
        <f>G606+G613+G620</f>
        <v>#REF!</v>
      </c>
      <c r="H605" s="134" t="e">
        <f t="shared" si="286"/>
        <v>#REF!</v>
      </c>
      <c r="I605" s="118">
        <f>I606+I613+I620</f>
        <v>317859.30972000002</v>
      </c>
      <c r="J605" s="118">
        <f t="shared" ref="J605" si="305">J606+J613+J620</f>
        <v>179928.55499999999</v>
      </c>
      <c r="K605" s="118">
        <f>K606+K613+K620</f>
        <v>257764.84271999999</v>
      </c>
      <c r="L605" s="118">
        <f>K605/I605*100</f>
        <v>81.094004434560432</v>
      </c>
    </row>
    <row r="606" spans="1:12" s="122" customFormat="1">
      <c r="A606" s="110" t="s">
        <v>114</v>
      </c>
      <c r="B606" s="111" t="s">
        <v>423</v>
      </c>
      <c r="C606" s="111" t="s">
        <v>76</v>
      </c>
      <c r="D606" s="111" t="s">
        <v>77</v>
      </c>
      <c r="E606" s="111"/>
      <c r="F606" s="111"/>
      <c r="G606" s="112">
        <f>G607</f>
        <v>1000</v>
      </c>
      <c r="H606" s="134">
        <f t="shared" si="286"/>
        <v>0</v>
      </c>
      <c r="I606" s="112">
        <f>I607</f>
        <v>1000</v>
      </c>
      <c r="J606" s="134">
        <f t="shared" ref="J606:J609" si="306">J607</f>
        <v>0</v>
      </c>
      <c r="K606" s="134">
        <f>K607</f>
        <v>0</v>
      </c>
      <c r="L606" s="134">
        <f>K606/I606*100</f>
        <v>0</v>
      </c>
    </row>
    <row r="607" spans="1:12" s="122" customFormat="1">
      <c r="A607" s="110" t="s">
        <v>318</v>
      </c>
      <c r="B607" s="111" t="s">
        <v>423</v>
      </c>
      <c r="C607" s="111" t="s">
        <v>76</v>
      </c>
      <c r="D607" s="111" t="s">
        <v>93</v>
      </c>
      <c r="E607" s="111"/>
      <c r="F607" s="111"/>
      <c r="G607" s="112">
        <f>G608</f>
        <v>1000</v>
      </c>
      <c r="H607" s="134">
        <f t="shared" si="286"/>
        <v>0</v>
      </c>
      <c r="I607" s="112">
        <f>I608</f>
        <v>1000</v>
      </c>
      <c r="J607" s="134">
        <f t="shared" si="306"/>
        <v>0</v>
      </c>
      <c r="K607" s="134">
        <f>K608</f>
        <v>0</v>
      </c>
      <c r="L607" s="134">
        <f t="shared" ref="L607:L670" si="307">K607/I607*100</f>
        <v>0</v>
      </c>
    </row>
    <row r="608" spans="1:12" s="122" customFormat="1">
      <c r="A608" s="110" t="s">
        <v>304</v>
      </c>
      <c r="B608" s="111" t="s">
        <v>423</v>
      </c>
      <c r="C608" s="111" t="s">
        <v>76</v>
      </c>
      <c r="D608" s="111" t="s">
        <v>93</v>
      </c>
      <c r="E608" s="142" t="s">
        <v>215</v>
      </c>
      <c r="F608" s="111"/>
      <c r="G608" s="112">
        <f>G609</f>
        <v>1000</v>
      </c>
      <c r="H608" s="134">
        <f t="shared" si="286"/>
        <v>0</v>
      </c>
      <c r="I608" s="112">
        <f>I609</f>
        <v>1000</v>
      </c>
      <c r="J608" s="134">
        <f t="shared" si="306"/>
        <v>0</v>
      </c>
      <c r="K608" s="134">
        <f>K609</f>
        <v>0</v>
      </c>
      <c r="L608" s="134">
        <f t="shared" si="307"/>
        <v>0</v>
      </c>
    </row>
    <row r="609" spans="1:12" s="122" customFormat="1">
      <c r="A609" s="124" t="s">
        <v>319</v>
      </c>
      <c r="B609" s="125" t="s">
        <v>423</v>
      </c>
      <c r="C609" s="125" t="s">
        <v>76</v>
      </c>
      <c r="D609" s="125" t="s">
        <v>93</v>
      </c>
      <c r="E609" s="129" t="s">
        <v>344</v>
      </c>
      <c r="F609" s="125"/>
      <c r="G609" s="126">
        <f>G610</f>
        <v>1000</v>
      </c>
      <c r="H609" s="134">
        <f t="shared" si="286"/>
        <v>0</v>
      </c>
      <c r="I609" s="126">
        <f>I610</f>
        <v>1000</v>
      </c>
      <c r="J609" s="136">
        <f t="shared" si="306"/>
        <v>0</v>
      </c>
      <c r="K609" s="136">
        <f>K610</f>
        <v>0</v>
      </c>
      <c r="L609" s="136">
        <f t="shared" si="307"/>
        <v>0</v>
      </c>
    </row>
    <row r="610" spans="1:12" s="122" customFormat="1">
      <c r="A610" s="119" t="s">
        <v>87</v>
      </c>
      <c r="B610" s="120" t="s">
        <v>423</v>
      </c>
      <c r="C610" s="120" t="s">
        <v>76</v>
      </c>
      <c r="D610" s="120" t="s">
        <v>93</v>
      </c>
      <c r="E610" s="130" t="s">
        <v>344</v>
      </c>
      <c r="F610" s="120" t="s">
        <v>88</v>
      </c>
      <c r="G610" s="121">
        <f>G611+G612</f>
        <v>1000</v>
      </c>
      <c r="H610" s="134">
        <f t="shared" si="286"/>
        <v>0</v>
      </c>
      <c r="I610" s="121">
        <f>I611+I612</f>
        <v>1000</v>
      </c>
      <c r="J610" s="135">
        <f t="shared" ref="J610" si="308">J611+J612</f>
        <v>0</v>
      </c>
      <c r="K610" s="135">
        <f>K611+K612</f>
        <v>0</v>
      </c>
      <c r="L610" s="135">
        <f t="shared" si="307"/>
        <v>0</v>
      </c>
    </row>
    <row r="611" spans="1:12" s="122" customFormat="1">
      <c r="A611" s="119" t="s">
        <v>150</v>
      </c>
      <c r="B611" s="120" t="s">
        <v>423</v>
      </c>
      <c r="C611" s="120" t="s">
        <v>76</v>
      </c>
      <c r="D611" s="120" t="s">
        <v>93</v>
      </c>
      <c r="E611" s="130" t="s">
        <v>344</v>
      </c>
      <c r="F611" s="120" t="s">
        <v>154</v>
      </c>
      <c r="G611" s="121">
        <v>950</v>
      </c>
      <c r="H611" s="134">
        <f t="shared" si="286"/>
        <v>0</v>
      </c>
      <c r="I611" s="121">
        <v>950</v>
      </c>
      <c r="J611" s="135">
        <v>0</v>
      </c>
      <c r="K611" s="135">
        <v>0</v>
      </c>
      <c r="L611" s="135">
        <f t="shared" si="307"/>
        <v>0</v>
      </c>
    </row>
    <row r="612" spans="1:12" s="184" customFormat="1">
      <c r="A612" s="119" t="s">
        <v>514</v>
      </c>
      <c r="B612" s="120" t="s">
        <v>423</v>
      </c>
      <c r="C612" s="120" t="s">
        <v>76</v>
      </c>
      <c r="D612" s="120" t="s">
        <v>93</v>
      </c>
      <c r="E612" s="130" t="s">
        <v>344</v>
      </c>
      <c r="F612" s="120" t="s">
        <v>89</v>
      </c>
      <c r="G612" s="121">
        <v>50</v>
      </c>
      <c r="H612" s="134">
        <f t="shared" si="286"/>
        <v>0</v>
      </c>
      <c r="I612" s="121">
        <v>50</v>
      </c>
      <c r="J612" s="135">
        <v>0</v>
      </c>
      <c r="K612" s="135">
        <v>0</v>
      </c>
      <c r="L612" s="135">
        <f t="shared" si="307"/>
        <v>0</v>
      </c>
    </row>
    <row r="613" spans="1:12" s="184" customFormat="1">
      <c r="A613" s="110" t="s">
        <v>363</v>
      </c>
      <c r="B613" s="111" t="s">
        <v>423</v>
      </c>
      <c r="C613" s="111" t="s">
        <v>78</v>
      </c>
      <c r="D613" s="111" t="s">
        <v>77</v>
      </c>
      <c r="E613" s="125"/>
      <c r="F613" s="125"/>
      <c r="G613" s="112">
        <f t="shared" ref="G613:K618" si="309">G614</f>
        <v>5000</v>
      </c>
      <c r="H613" s="134">
        <f t="shared" si="286"/>
        <v>-1470</v>
      </c>
      <c r="I613" s="112">
        <f t="shared" si="309"/>
        <v>3530</v>
      </c>
      <c r="J613" s="112">
        <f t="shared" si="309"/>
        <v>2117.64</v>
      </c>
      <c r="K613" s="112">
        <f t="shared" si="309"/>
        <v>3530</v>
      </c>
      <c r="L613" s="112">
        <f t="shared" si="307"/>
        <v>100</v>
      </c>
    </row>
    <row r="614" spans="1:12" s="122" customFormat="1">
      <c r="A614" s="110" t="s">
        <v>405</v>
      </c>
      <c r="B614" s="111" t="s">
        <v>423</v>
      </c>
      <c r="C614" s="111" t="s">
        <v>78</v>
      </c>
      <c r="D614" s="111" t="s">
        <v>489</v>
      </c>
      <c r="E614" s="125"/>
      <c r="F614" s="125"/>
      <c r="G614" s="112">
        <f t="shared" si="309"/>
        <v>5000</v>
      </c>
      <c r="H614" s="134">
        <f t="shared" si="286"/>
        <v>-1470</v>
      </c>
      <c r="I614" s="112">
        <f t="shared" si="309"/>
        <v>3530</v>
      </c>
      <c r="J614" s="112">
        <f t="shared" si="309"/>
        <v>2117.64</v>
      </c>
      <c r="K614" s="112">
        <f t="shared" si="309"/>
        <v>3530</v>
      </c>
      <c r="L614" s="112">
        <f t="shared" si="307"/>
        <v>100</v>
      </c>
    </row>
    <row r="615" spans="1:12" s="122" customFormat="1" ht="40.5">
      <c r="A615" s="123" t="s">
        <v>699</v>
      </c>
      <c r="B615" s="114" t="s">
        <v>423</v>
      </c>
      <c r="C615" s="114" t="s">
        <v>78</v>
      </c>
      <c r="D615" s="114" t="s">
        <v>489</v>
      </c>
      <c r="E615" s="114" t="s">
        <v>242</v>
      </c>
      <c r="F615" s="114"/>
      <c r="G615" s="115">
        <f t="shared" si="309"/>
        <v>5000</v>
      </c>
      <c r="H615" s="134">
        <f t="shared" si="286"/>
        <v>-1470</v>
      </c>
      <c r="I615" s="115">
        <f t="shared" si="309"/>
        <v>3530</v>
      </c>
      <c r="J615" s="115">
        <f t="shared" si="309"/>
        <v>2117.64</v>
      </c>
      <c r="K615" s="115">
        <f t="shared" si="309"/>
        <v>3530</v>
      </c>
      <c r="L615" s="115">
        <f t="shared" si="307"/>
        <v>100</v>
      </c>
    </row>
    <row r="616" spans="1:12" s="122" customFormat="1">
      <c r="A616" s="110" t="s">
        <v>653</v>
      </c>
      <c r="B616" s="111" t="s">
        <v>423</v>
      </c>
      <c r="C616" s="111" t="s">
        <v>78</v>
      </c>
      <c r="D616" s="111" t="s">
        <v>489</v>
      </c>
      <c r="E616" s="111" t="s">
        <v>243</v>
      </c>
      <c r="F616" s="120"/>
      <c r="G616" s="112">
        <f t="shared" si="309"/>
        <v>5000</v>
      </c>
      <c r="H616" s="134">
        <f t="shared" si="286"/>
        <v>-1470</v>
      </c>
      <c r="I616" s="112">
        <f t="shared" si="309"/>
        <v>3530</v>
      </c>
      <c r="J616" s="112">
        <f t="shared" si="309"/>
        <v>2117.64</v>
      </c>
      <c r="K616" s="112">
        <f t="shared" si="309"/>
        <v>3530</v>
      </c>
      <c r="L616" s="112">
        <f t="shared" si="307"/>
        <v>100</v>
      </c>
    </row>
    <row r="617" spans="1:12" s="122" customFormat="1">
      <c r="A617" s="140" t="s">
        <v>654</v>
      </c>
      <c r="B617" s="125" t="s">
        <v>423</v>
      </c>
      <c r="C617" s="125" t="s">
        <v>78</v>
      </c>
      <c r="D617" s="125" t="s">
        <v>489</v>
      </c>
      <c r="E617" s="133" t="s">
        <v>655</v>
      </c>
      <c r="F617" s="125"/>
      <c r="G617" s="126">
        <f t="shared" si="309"/>
        <v>5000</v>
      </c>
      <c r="H617" s="134">
        <f t="shared" si="286"/>
        <v>-1470</v>
      </c>
      <c r="I617" s="126">
        <f t="shared" si="309"/>
        <v>3530</v>
      </c>
      <c r="J617" s="126">
        <f t="shared" si="309"/>
        <v>2117.64</v>
      </c>
      <c r="K617" s="126">
        <f t="shared" si="309"/>
        <v>3530</v>
      </c>
      <c r="L617" s="126">
        <f t="shared" si="307"/>
        <v>100</v>
      </c>
    </row>
    <row r="618" spans="1:12" s="122" customFormat="1">
      <c r="A618" s="119" t="s">
        <v>301</v>
      </c>
      <c r="B618" s="120" t="s">
        <v>423</v>
      </c>
      <c r="C618" s="120" t="s">
        <v>78</v>
      </c>
      <c r="D618" s="120" t="s">
        <v>489</v>
      </c>
      <c r="E618" s="120" t="s">
        <v>655</v>
      </c>
      <c r="F618" s="120" t="s">
        <v>84</v>
      </c>
      <c r="G618" s="121">
        <f t="shared" si="309"/>
        <v>5000</v>
      </c>
      <c r="H618" s="134">
        <f t="shared" si="286"/>
        <v>-1470</v>
      </c>
      <c r="I618" s="121">
        <f t="shared" si="309"/>
        <v>3530</v>
      </c>
      <c r="J618" s="121">
        <f t="shared" si="309"/>
        <v>2117.64</v>
      </c>
      <c r="K618" s="121">
        <f t="shared" si="309"/>
        <v>3530</v>
      </c>
      <c r="L618" s="121">
        <f t="shared" si="307"/>
        <v>100</v>
      </c>
    </row>
    <row r="619" spans="1:12" s="122" customFormat="1" ht="24">
      <c r="A619" s="119" t="s">
        <v>85</v>
      </c>
      <c r="B619" s="120" t="s">
        <v>423</v>
      </c>
      <c r="C619" s="120" t="s">
        <v>78</v>
      </c>
      <c r="D619" s="120" t="s">
        <v>489</v>
      </c>
      <c r="E619" s="120" t="s">
        <v>655</v>
      </c>
      <c r="F619" s="120" t="s">
        <v>86</v>
      </c>
      <c r="G619" s="121">
        <v>5000</v>
      </c>
      <c r="H619" s="134">
        <f t="shared" si="286"/>
        <v>-1470</v>
      </c>
      <c r="I619" s="121">
        <f>5000-370-1100</f>
        <v>3530</v>
      </c>
      <c r="J619" s="121">
        <v>2117.64</v>
      </c>
      <c r="K619" s="121">
        <f>5000-370-1100</f>
        <v>3530</v>
      </c>
      <c r="L619" s="121">
        <f t="shared" si="307"/>
        <v>100</v>
      </c>
    </row>
    <row r="620" spans="1:12" s="122" customFormat="1">
      <c r="A620" s="110" t="s">
        <v>375</v>
      </c>
      <c r="B620" s="111" t="s">
        <v>423</v>
      </c>
      <c r="C620" s="111" t="s">
        <v>432</v>
      </c>
      <c r="D620" s="111" t="s">
        <v>77</v>
      </c>
      <c r="E620" s="111"/>
      <c r="F620" s="111"/>
      <c r="G620" s="112" t="e">
        <f>G621+G656+G681+G693</f>
        <v>#REF!</v>
      </c>
      <c r="H620" s="134" t="e">
        <f t="shared" si="286"/>
        <v>#REF!</v>
      </c>
      <c r="I620" s="112">
        <f>I621+I656+I681+I693</f>
        <v>313329.30972000002</v>
      </c>
      <c r="J620" s="112">
        <f t="shared" ref="J620" si="310">J621+J656+J681+J693</f>
        <v>177810.91499999998</v>
      </c>
      <c r="K620" s="112">
        <f>K621+K656+K681+K693</f>
        <v>254234.84271999999</v>
      </c>
      <c r="L620" s="112">
        <f t="shared" si="307"/>
        <v>81.139821533833356</v>
      </c>
    </row>
    <row r="621" spans="1:12" s="122" customFormat="1">
      <c r="A621" s="110" t="s">
        <v>376</v>
      </c>
      <c r="B621" s="111" t="s">
        <v>423</v>
      </c>
      <c r="C621" s="111" t="s">
        <v>432</v>
      </c>
      <c r="D621" s="111" t="s">
        <v>76</v>
      </c>
      <c r="E621" s="125"/>
      <c r="F621" s="125"/>
      <c r="G621" s="112">
        <f>G622</f>
        <v>45795</v>
      </c>
      <c r="H621" s="134">
        <f t="shared" si="286"/>
        <v>19562.30672</v>
      </c>
      <c r="I621" s="112">
        <f>I622</f>
        <v>65357.30672</v>
      </c>
      <c r="J621" s="112">
        <f t="shared" ref="J621" si="311">J622</f>
        <v>17610.785</v>
      </c>
      <c r="K621" s="112">
        <f>K622</f>
        <v>51762.839720000004</v>
      </c>
      <c r="L621" s="112">
        <f t="shared" si="307"/>
        <v>79.199774773093651</v>
      </c>
    </row>
    <row r="622" spans="1:12" s="122" customFormat="1" ht="40.5">
      <c r="A622" s="123" t="s">
        <v>699</v>
      </c>
      <c r="B622" s="114" t="s">
        <v>423</v>
      </c>
      <c r="C622" s="114" t="s">
        <v>432</v>
      </c>
      <c r="D622" s="114" t="s">
        <v>76</v>
      </c>
      <c r="E622" s="114" t="s">
        <v>242</v>
      </c>
      <c r="F622" s="125"/>
      <c r="G622" s="115">
        <f>G623+G633+G643</f>
        <v>45795</v>
      </c>
      <c r="H622" s="134">
        <f t="shared" si="286"/>
        <v>19562.30672</v>
      </c>
      <c r="I622" s="115">
        <f>I623+I633+I643</f>
        <v>65357.30672</v>
      </c>
      <c r="J622" s="115">
        <f t="shared" ref="J622" si="312">J623+J633+J643</f>
        <v>17610.785</v>
      </c>
      <c r="K622" s="115">
        <f>K623+K633+K643</f>
        <v>51762.839720000004</v>
      </c>
      <c r="L622" s="115">
        <f t="shared" si="307"/>
        <v>79.199774773093651</v>
      </c>
    </row>
    <row r="623" spans="1:12" s="122" customFormat="1" ht="24">
      <c r="A623" s="110" t="s">
        <v>59</v>
      </c>
      <c r="B623" s="111" t="s">
        <v>423</v>
      </c>
      <c r="C623" s="111" t="s">
        <v>432</v>
      </c>
      <c r="D623" s="111" t="s">
        <v>76</v>
      </c>
      <c r="E623" s="111" t="s">
        <v>244</v>
      </c>
      <c r="F623" s="111"/>
      <c r="G623" s="112">
        <f>G624+G627+G630</f>
        <v>9500</v>
      </c>
      <c r="H623" s="134">
        <f t="shared" si="286"/>
        <v>1000</v>
      </c>
      <c r="I623" s="112">
        <f>I624+I627+I630</f>
        <v>10500</v>
      </c>
      <c r="J623" s="112">
        <f t="shared" ref="J623" si="313">J624+J627+J630</f>
        <v>6942.9620000000004</v>
      </c>
      <c r="K623" s="112">
        <f>K624+K627+K630</f>
        <v>8905.5329999999994</v>
      </c>
      <c r="L623" s="112">
        <f t="shared" si="307"/>
        <v>84.814599999999999</v>
      </c>
    </row>
    <row r="624" spans="1:12" s="122" customFormat="1">
      <c r="A624" s="124" t="s">
        <v>742</v>
      </c>
      <c r="B624" s="125" t="s">
        <v>423</v>
      </c>
      <c r="C624" s="125" t="s">
        <v>432</v>
      </c>
      <c r="D624" s="125" t="s">
        <v>76</v>
      </c>
      <c r="E624" s="125" t="s">
        <v>656</v>
      </c>
      <c r="F624" s="125"/>
      <c r="G624" s="136">
        <f>G625</f>
        <v>5000</v>
      </c>
      <c r="H624" s="134">
        <f t="shared" si="286"/>
        <v>0</v>
      </c>
      <c r="I624" s="136">
        <f>I625</f>
        <v>5000</v>
      </c>
      <c r="J624" s="136">
        <f t="shared" ref="J624:J625" si="314">J625</f>
        <v>4925.3090000000002</v>
      </c>
      <c r="K624" s="136">
        <f>K625</f>
        <v>4925.3090000000002</v>
      </c>
      <c r="L624" s="126">
        <f t="shared" si="307"/>
        <v>98.506180000000001</v>
      </c>
    </row>
    <row r="625" spans="1:12" s="122" customFormat="1">
      <c r="A625" s="119" t="s">
        <v>301</v>
      </c>
      <c r="B625" s="120" t="s">
        <v>423</v>
      </c>
      <c r="C625" s="120" t="s">
        <v>432</v>
      </c>
      <c r="D625" s="120" t="s">
        <v>76</v>
      </c>
      <c r="E625" s="120" t="s">
        <v>656</v>
      </c>
      <c r="F625" s="120" t="s">
        <v>84</v>
      </c>
      <c r="G625" s="135">
        <f>G626</f>
        <v>5000</v>
      </c>
      <c r="H625" s="134">
        <f t="shared" si="286"/>
        <v>0</v>
      </c>
      <c r="I625" s="135">
        <f>I626</f>
        <v>5000</v>
      </c>
      <c r="J625" s="135">
        <f t="shared" si="314"/>
        <v>4925.3090000000002</v>
      </c>
      <c r="K625" s="135">
        <f>K626</f>
        <v>4925.3090000000002</v>
      </c>
      <c r="L625" s="121">
        <f t="shared" si="307"/>
        <v>98.506180000000001</v>
      </c>
    </row>
    <row r="626" spans="1:12" s="122" customFormat="1" ht="24">
      <c r="A626" s="119" t="s">
        <v>85</v>
      </c>
      <c r="B626" s="120" t="s">
        <v>423</v>
      </c>
      <c r="C626" s="120" t="s">
        <v>432</v>
      </c>
      <c r="D626" s="120" t="s">
        <v>76</v>
      </c>
      <c r="E626" s="120" t="s">
        <v>656</v>
      </c>
      <c r="F626" s="120" t="s">
        <v>86</v>
      </c>
      <c r="G626" s="135">
        <v>5000</v>
      </c>
      <c r="H626" s="134">
        <f t="shared" ref="H626:H694" si="315">I626-G626</f>
        <v>0</v>
      </c>
      <c r="I626" s="135">
        <v>5000</v>
      </c>
      <c r="J626" s="135">
        <v>4925.3090000000002</v>
      </c>
      <c r="K626" s="135">
        <v>4925.3090000000002</v>
      </c>
      <c r="L626" s="121">
        <f t="shared" si="307"/>
        <v>98.506180000000001</v>
      </c>
    </row>
    <row r="627" spans="1:12" s="122" customFormat="1">
      <c r="A627" s="124" t="s">
        <v>657</v>
      </c>
      <c r="B627" s="125" t="s">
        <v>423</v>
      </c>
      <c r="C627" s="125" t="s">
        <v>432</v>
      </c>
      <c r="D627" s="125" t="s">
        <v>76</v>
      </c>
      <c r="E627" s="125" t="s">
        <v>658</v>
      </c>
      <c r="F627" s="125"/>
      <c r="G627" s="136">
        <f>G628</f>
        <v>500</v>
      </c>
      <c r="H627" s="134">
        <f t="shared" si="315"/>
        <v>1000</v>
      </c>
      <c r="I627" s="136">
        <f>I628</f>
        <v>1500</v>
      </c>
      <c r="J627" s="136">
        <f t="shared" ref="J627:J628" si="316">J628</f>
        <v>1480.2239999999999</v>
      </c>
      <c r="K627" s="136">
        <f>K628</f>
        <v>1480.2239999999999</v>
      </c>
      <c r="L627" s="112">
        <f t="shared" si="307"/>
        <v>98.681599999999989</v>
      </c>
    </row>
    <row r="628" spans="1:12" s="122" customFormat="1">
      <c r="A628" s="119" t="s">
        <v>301</v>
      </c>
      <c r="B628" s="120" t="s">
        <v>423</v>
      </c>
      <c r="C628" s="120" t="s">
        <v>432</v>
      </c>
      <c r="D628" s="120" t="s">
        <v>76</v>
      </c>
      <c r="E628" s="120" t="s">
        <v>658</v>
      </c>
      <c r="F628" s="120" t="s">
        <v>84</v>
      </c>
      <c r="G628" s="135">
        <f>G629</f>
        <v>500</v>
      </c>
      <c r="H628" s="134">
        <f t="shared" si="315"/>
        <v>1000</v>
      </c>
      <c r="I628" s="135">
        <f>I629</f>
        <v>1500</v>
      </c>
      <c r="J628" s="135">
        <f t="shared" si="316"/>
        <v>1480.2239999999999</v>
      </c>
      <c r="K628" s="135">
        <f>K629</f>
        <v>1480.2239999999999</v>
      </c>
      <c r="L628" s="121">
        <f t="shared" si="307"/>
        <v>98.681599999999989</v>
      </c>
    </row>
    <row r="629" spans="1:12" s="122" customFormat="1" ht="24">
      <c r="A629" s="119" t="s">
        <v>85</v>
      </c>
      <c r="B629" s="120" t="s">
        <v>423</v>
      </c>
      <c r="C629" s="120" t="s">
        <v>432</v>
      </c>
      <c r="D629" s="120" t="s">
        <v>76</v>
      </c>
      <c r="E629" s="120" t="s">
        <v>658</v>
      </c>
      <c r="F629" s="120" t="s">
        <v>86</v>
      </c>
      <c r="G629" s="135">
        <v>500</v>
      </c>
      <c r="H629" s="134">
        <f t="shared" si="315"/>
        <v>1000</v>
      </c>
      <c r="I629" s="135">
        <f>500+1000</f>
        <v>1500</v>
      </c>
      <c r="J629" s="135">
        <v>1480.2239999999999</v>
      </c>
      <c r="K629" s="135">
        <v>1480.2239999999999</v>
      </c>
      <c r="L629" s="121">
        <f t="shared" si="307"/>
        <v>98.681599999999989</v>
      </c>
    </row>
    <row r="630" spans="1:12" s="122" customFormat="1">
      <c r="A630" s="124" t="s">
        <v>245</v>
      </c>
      <c r="B630" s="125" t="s">
        <v>423</v>
      </c>
      <c r="C630" s="125" t="s">
        <v>432</v>
      </c>
      <c r="D630" s="125" t="s">
        <v>76</v>
      </c>
      <c r="E630" s="125" t="s">
        <v>659</v>
      </c>
      <c r="F630" s="125"/>
      <c r="G630" s="136">
        <f>G631</f>
        <v>4000</v>
      </c>
      <c r="H630" s="134">
        <f t="shared" si="315"/>
        <v>0</v>
      </c>
      <c r="I630" s="136">
        <f>I631</f>
        <v>4000</v>
      </c>
      <c r="J630" s="136">
        <f t="shared" ref="J630:J631" si="317">J631</f>
        <v>537.42899999999997</v>
      </c>
      <c r="K630" s="136">
        <f>K631</f>
        <v>2500</v>
      </c>
      <c r="L630" s="126">
        <f t="shared" si="307"/>
        <v>62.5</v>
      </c>
    </row>
    <row r="631" spans="1:12" s="122" customFormat="1">
      <c r="A631" s="119" t="s">
        <v>301</v>
      </c>
      <c r="B631" s="120" t="s">
        <v>423</v>
      </c>
      <c r="C631" s="120" t="s">
        <v>432</v>
      </c>
      <c r="D631" s="120" t="s">
        <v>76</v>
      </c>
      <c r="E631" s="120" t="s">
        <v>659</v>
      </c>
      <c r="F631" s="120" t="s">
        <v>84</v>
      </c>
      <c r="G631" s="135">
        <f>G632</f>
        <v>4000</v>
      </c>
      <c r="H631" s="134">
        <f t="shared" si="315"/>
        <v>0</v>
      </c>
      <c r="I631" s="135">
        <f>I632</f>
        <v>4000</v>
      </c>
      <c r="J631" s="135">
        <f t="shared" si="317"/>
        <v>537.42899999999997</v>
      </c>
      <c r="K631" s="135">
        <f>K632</f>
        <v>2500</v>
      </c>
      <c r="L631" s="121">
        <f t="shared" si="307"/>
        <v>62.5</v>
      </c>
    </row>
    <row r="632" spans="1:12" s="122" customFormat="1" ht="24">
      <c r="A632" s="119" t="s">
        <v>85</v>
      </c>
      <c r="B632" s="120" t="s">
        <v>423</v>
      </c>
      <c r="C632" s="120" t="s">
        <v>432</v>
      </c>
      <c r="D632" s="120" t="s">
        <v>76</v>
      </c>
      <c r="E632" s="120" t="s">
        <v>659</v>
      </c>
      <c r="F632" s="120" t="s">
        <v>86</v>
      </c>
      <c r="G632" s="135">
        <v>4000</v>
      </c>
      <c r="H632" s="134">
        <f t="shared" si="315"/>
        <v>0</v>
      </c>
      <c r="I632" s="135">
        <v>4000</v>
      </c>
      <c r="J632" s="135">
        <v>537.42899999999997</v>
      </c>
      <c r="K632" s="135">
        <f>4000-1500</f>
        <v>2500</v>
      </c>
      <c r="L632" s="121">
        <f t="shared" si="307"/>
        <v>62.5</v>
      </c>
    </row>
    <row r="633" spans="1:12" s="122" customFormat="1">
      <c r="A633" s="110" t="s">
        <v>504</v>
      </c>
      <c r="B633" s="111" t="s">
        <v>452</v>
      </c>
      <c r="C633" s="111" t="s">
        <v>432</v>
      </c>
      <c r="D633" s="111" t="s">
        <v>76</v>
      </c>
      <c r="E633" s="111" t="s">
        <v>505</v>
      </c>
      <c r="F633" s="120"/>
      <c r="G633" s="112">
        <f>G634+G637+G640</f>
        <v>8300</v>
      </c>
      <c r="H633" s="134">
        <f t="shared" si="315"/>
        <v>9100</v>
      </c>
      <c r="I633" s="112">
        <f>I634+I637+I640</f>
        <v>17400</v>
      </c>
      <c r="J633" s="112">
        <f t="shared" ref="J633" si="318">J634+J637+J640</f>
        <v>4146.6469999999999</v>
      </c>
      <c r="K633" s="112">
        <f>K634+K637+K640</f>
        <v>15400</v>
      </c>
      <c r="L633" s="112">
        <f t="shared" si="307"/>
        <v>88.505747126436788</v>
      </c>
    </row>
    <row r="634" spans="1:12" s="122" customFormat="1" ht="36">
      <c r="A634" s="124" t="s">
        <v>664</v>
      </c>
      <c r="B634" s="125" t="s">
        <v>452</v>
      </c>
      <c r="C634" s="125" t="s">
        <v>432</v>
      </c>
      <c r="D634" s="125" t="s">
        <v>76</v>
      </c>
      <c r="E634" s="125" t="s">
        <v>665</v>
      </c>
      <c r="F634" s="125"/>
      <c r="G634" s="126">
        <f>G635</f>
        <v>1000</v>
      </c>
      <c r="H634" s="134">
        <f t="shared" si="315"/>
        <v>-300</v>
      </c>
      <c r="I634" s="126">
        <f>I635</f>
        <v>700</v>
      </c>
      <c r="J634" s="136">
        <f t="shared" ref="J634:J635" si="319">J635</f>
        <v>0</v>
      </c>
      <c r="K634" s="126">
        <f>K635</f>
        <v>700</v>
      </c>
      <c r="L634" s="126">
        <f t="shared" si="307"/>
        <v>100</v>
      </c>
    </row>
    <row r="635" spans="1:12" s="122" customFormat="1">
      <c r="A635" s="119" t="s">
        <v>301</v>
      </c>
      <c r="B635" s="120" t="s">
        <v>423</v>
      </c>
      <c r="C635" s="120" t="s">
        <v>432</v>
      </c>
      <c r="D635" s="120" t="s">
        <v>76</v>
      </c>
      <c r="E635" s="120" t="s">
        <v>665</v>
      </c>
      <c r="F635" s="120" t="s">
        <v>84</v>
      </c>
      <c r="G635" s="121">
        <f>G636</f>
        <v>1000</v>
      </c>
      <c r="H635" s="134">
        <f t="shared" si="315"/>
        <v>-300</v>
      </c>
      <c r="I635" s="121">
        <f>I636</f>
        <v>700</v>
      </c>
      <c r="J635" s="229">
        <f t="shared" si="319"/>
        <v>0</v>
      </c>
      <c r="K635" s="121">
        <f>K636</f>
        <v>700</v>
      </c>
      <c r="L635" s="121">
        <f t="shared" si="307"/>
        <v>100</v>
      </c>
    </row>
    <row r="636" spans="1:12" s="122" customFormat="1" ht="24">
      <c r="A636" s="119" t="s">
        <v>85</v>
      </c>
      <c r="B636" s="120" t="s">
        <v>423</v>
      </c>
      <c r="C636" s="120" t="s">
        <v>432</v>
      </c>
      <c r="D636" s="120" t="s">
        <v>76</v>
      </c>
      <c r="E636" s="120" t="s">
        <v>665</v>
      </c>
      <c r="F636" s="120" t="s">
        <v>86</v>
      </c>
      <c r="G636" s="121">
        <v>1000</v>
      </c>
      <c r="H636" s="134">
        <f t="shared" si="315"/>
        <v>-300</v>
      </c>
      <c r="I636" s="121">
        <f>1000-300</f>
        <v>700</v>
      </c>
      <c r="J636" s="229">
        <v>0</v>
      </c>
      <c r="K636" s="121">
        <f>1000-300</f>
        <v>700</v>
      </c>
      <c r="L636" s="121">
        <f t="shared" si="307"/>
        <v>100</v>
      </c>
    </row>
    <row r="637" spans="1:12" s="122" customFormat="1" ht="36">
      <c r="A637" s="128" t="s">
        <v>506</v>
      </c>
      <c r="B637" s="125" t="s">
        <v>452</v>
      </c>
      <c r="C637" s="125" t="s">
        <v>432</v>
      </c>
      <c r="D637" s="125" t="s">
        <v>76</v>
      </c>
      <c r="E637" s="125" t="s">
        <v>666</v>
      </c>
      <c r="F637" s="125"/>
      <c r="G637" s="126">
        <f>G638</f>
        <v>300</v>
      </c>
      <c r="H637" s="134">
        <f t="shared" si="315"/>
        <v>300</v>
      </c>
      <c r="I637" s="126">
        <f>I638</f>
        <v>600</v>
      </c>
      <c r="J637" s="126">
        <f t="shared" ref="J637:J638" si="320">J638</f>
        <v>300</v>
      </c>
      <c r="K637" s="126">
        <f>K638</f>
        <v>600</v>
      </c>
      <c r="L637" s="126">
        <f t="shared" si="307"/>
        <v>100</v>
      </c>
    </row>
    <row r="638" spans="1:12" s="122" customFormat="1">
      <c r="A638" s="119" t="s">
        <v>301</v>
      </c>
      <c r="B638" s="120" t="s">
        <v>423</v>
      </c>
      <c r="C638" s="120" t="s">
        <v>432</v>
      </c>
      <c r="D638" s="120" t="s">
        <v>76</v>
      </c>
      <c r="E638" s="120" t="s">
        <v>666</v>
      </c>
      <c r="F638" s="120" t="s">
        <v>84</v>
      </c>
      <c r="G638" s="121">
        <f>G639</f>
        <v>300</v>
      </c>
      <c r="H638" s="134">
        <f t="shared" si="315"/>
        <v>300</v>
      </c>
      <c r="I638" s="121">
        <f>I639</f>
        <v>600</v>
      </c>
      <c r="J638" s="121">
        <f t="shared" si="320"/>
        <v>300</v>
      </c>
      <c r="K638" s="121">
        <f>K639</f>
        <v>600</v>
      </c>
      <c r="L638" s="121">
        <f t="shared" si="307"/>
        <v>100</v>
      </c>
    </row>
    <row r="639" spans="1:12" s="122" customFormat="1" ht="24">
      <c r="A639" s="119" t="s">
        <v>85</v>
      </c>
      <c r="B639" s="120" t="s">
        <v>423</v>
      </c>
      <c r="C639" s="120" t="s">
        <v>432</v>
      </c>
      <c r="D639" s="120" t="s">
        <v>76</v>
      </c>
      <c r="E639" s="120" t="s">
        <v>666</v>
      </c>
      <c r="F639" s="120" t="s">
        <v>86</v>
      </c>
      <c r="G639" s="121">
        <v>300</v>
      </c>
      <c r="H639" s="134">
        <f t="shared" si="315"/>
        <v>300</v>
      </c>
      <c r="I639" s="121">
        <f>300+300</f>
        <v>600</v>
      </c>
      <c r="J639" s="121">
        <v>300</v>
      </c>
      <c r="K639" s="121">
        <f>300+300</f>
        <v>600</v>
      </c>
      <c r="L639" s="121">
        <f t="shared" si="307"/>
        <v>100</v>
      </c>
    </row>
    <row r="640" spans="1:12" s="205" customFormat="1">
      <c r="A640" s="128" t="s">
        <v>246</v>
      </c>
      <c r="B640" s="125" t="s">
        <v>452</v>
      </c>
      <c r="C640" s="125" t="s">
        <v>432</v>
      </c>
      <c r="D640" s="125" t="s">
        <v>76</v>
      </c>
      <c r="E640" s="133" t="s">
        <v>667</v>
      </c>
      <c r="F640" s="125"/>
      <c r="G640" s="126">
        <f>G641</f>
        <v>7000</v>
      </c>
      <c r="H640" s="134">
        <f t="shared" si="315"/>
        <v>9100</v>
      </c>
      <c r="I640" s="126">
        <f>I641</f>
        <v>16100</v>
      </c>
      <c r="J640" s="126">
        <f t="shared" ref="J640:J641" si="321">J641</f>
        <v>3846.6469999999999</v>
      </c>
      <c r="K640" s="126">
        <f>K641</f>
        <v>14100</v>
      </c>
      <c r="L640" s="126">
        <f t="shared" si="307"/>
        <v>87.577639751552795</v>
      </c>
    </row>
    <row r="641" spans="1:13" s="205" customFormat="1">
      <c r="A641" s="119" t="s">
        <v>301</v>
      </c>
      <c r="B641" s="120" t="s">
        <v>423</v>
      </c>
      <c r="C641" s="120" t="s">
        <v>432</v>
      </c>
      <c r="D641" s="120" t="s">
        <v>76</v>
      </c>
      <c r="E641" s="120" t="s">
        <v>667</v>
      </c>
      <c r="F641" s="120" t="s">
        <v>84</v>
      </c>
      <c r="G641" s="121">
        <f>G642</f>
        <v>7000</v>
      </c>
      <c r="H641" s="134">
        <f t="shared" si="315"/>
        <v>9100</v>
      </c>
      <c r="I641" s="121">
        <f>I642</f>
        <v>16100</v>
      </c>
      <c r="J641" s="121">
        <f t="shared" si="321"/>
        <v>3846.6469999999999</v>
      </c>
      <c r="K641" s="121">
        <f>K642</f>
        <v>14100</v>
      </c>
      <c r="L641" s="121">
        <f t="shared" si="307"/>
        <v>87.577639751552795</v>
      </c>
    </row>
    <row r="642" spans="1:13" s="205" customFormat="1" ht="24">
      <c r="A642" s="119" t="s">
        <v>85</v>
      </c>
      <c r="B642" s="120" t="s">
        <v>423</v>
      </c>
      <c r="C642" s="120" t="s">
        <v>432</v>
      </c>
      <c r="D642" s="120" t="s">
        <v>76</v>
      </c>
      <c r="E642" s="120" t="s">
        <v>667</v>
      </c>
      <c r="F642" s="120" t="s">
        <v>86</v>
      </c>
      <c r="G642" s="121">
        <v>7000</v>
      </c>
      <c r="H642" s="134">
        <f t="shared" si="315"/>
        <v>9100</v>
      </c>
      <c r="I642" s="121">
        <f>7000+9100</f>
        <v>16100</v>
      </c>
      <c r="J642" s="121">
        <v>3846.6469999999999</v>
      </c>
      <c r="K642" s="121">
        <f>7000+9100-2000</f>
        <v>14100</v>
      </c>
      <c r="L642" s="121">
        <f t="shared" si="307"/>
        <v>87.577639751552795</v>
      </c>
    </row>
    <row r="643" spans="1:13" s="205" customFormat="1" ht="24">
      <c r="A643" s="110" t="s">
        <v>151</v>
      </c>
      <c r="B643" s="111" t="s">
        <v>452</v>
      </c>
      <c r="C643" s="111" t="s">
        <v>432</v>
      </c>
      <c r="D643" s="111" t="s">
        <v>76</v>
      </c>
      <c r="E643" s="111" t="s">
        <v>126</v>
      </c>
      <c r="F643" s="120"/>
      <c r="G643" s="112">
        <f>G650+G653</f>
        <v>27995</v>
      </c>
      <c r="H643" s="134">
        <f t="shared" si="315"/>
        <v>9462.3067200000005</v>
      </c>
      <c r="I643" s="112">
        <f>I650+I653+I644+I647</f>
        <v>37457.30672</v>
      </c>
      <c r="J643" s="112">
        <f t="shared" ref="J643" si="322">J650+J653+J644+J647</f>
        <v>6521.1759999999995</v>
      </c>
      <c r="K643" s="112">
        <f>K650+K653+K644+K647</f>
        <v>27457.30672</v>
      </c>
      <c r="L643" s="112">
        <f t="shared" si="307"/>
        <v>73.302939064060936</v>
      </c>
    </row>
    <row r="644" spans="1:13" s="205" customFormat="1" ht="72">
      <c r="A644" s="140" t="s">
        <v>749</v>
      </c>
      <c r="B644" s="125" t="s">
        <v>423</v>
      </c>
      <c r="C644" s="125" t="s">
        <v>432</v>
      </c>
      <c r="D644" s="125" t="s">
        <v>76</v>
      </c>
      <c r="E644" s="125" t="s">
        <v>762</v>
      </c>
      <c r="F644" s="125"/>
      <c r="G644" s="112"/>
      <c r="H644" s="134"/>
      <c r="I644" s="126">
        <f>I645</f>
        <v>8362.3067200000005</v>
      </c>
      <c r="J644" s="136">
        <f t="shared" ref="J644:J645" si="323">J645</f>
        <v>0</v>
      </c>
      <c r="K644" s="126">
        <f>K645</f>
        <v>8362.3067200000005</v>
      </c>
      <c r="L644" s="126">
        <f t="shared" si="307"/>
        <v>100</v>
      </c>
    </row>
    <row r="645" spans="1:13" s="205" customFormat="1" ht="24">
      <c r="A645" s="119" t="s">
        <v>226</v>
      </c>
      <c r="B645" s="120" t="s">
        <v>423</v>
      </c>
      <c r="C645" s="120" t="s">
        <v>432</v>
      </c>
      <c r="D645" s="120" t="s">
        <v>76</v>
      </c>
      <c r="E645" s="120" t="s">
        <v>762</v>
      </c>
      <c r="F645" s="120" t="s">
        <v>434</v>
      </c>
      <c r="G645" s="112"/>
      <c r="H645" s="134"/>
      <c r="I645" s="121">
        <f>I646</f>
        <v>8362.3067200000005</v>
      </c>
      <c r="J645" s="135">
        <f t="shared" si="323"/>
        <v>0</v>
      </c>
      <c r="K645" s="121">
        <f>K646</f>
        <v>8362.3067200000005</v>
      </c>
      <c r="L645" s="121">
        <f t="shared" si="307"/>
        <v>100</v>
      </c>
    </row>
    <row r="646" spans="1:13" s="205" customFormat="1">
      <c r="A646" s="119" t="s">
        <v>435</v>
      </c>
      <c r="B646" s="120" t="s">
        <v>423</v>
      </c>
      <c r="C646" s="120" t="s">
        <v>432</v>
      </c>
      <c r="D646" s="120" t="s">
        <v>76</v>
      </c>
      <c r="E646" s="120" t="s">
        <v>762</v>
      </c>
      <c r="F646" s="120" t="s">
        <v>436</v>
      </c>
      <c r="G646" s="112"/>
      <c r="H646" s="134"/>
      <c r="I646" s="121">
        <v>8362.3067200000005</v>
      </c>
      <c r="J646" s="135">
        <v>0</v>
      </c>
      <c r="K646" s="121">
        <v>8362.3067200000005</v>
      </c>
      <c r="L646" s="121">
        <f t="shared" si="307"/>
        <v>100</v>
      </c>
    </row>
    <row r="647" spans="1:13" s="205" customFormat="1" ht="24">
      <c r="A647" s="218" t="s">
        <v>636</v>
      </c>
      <c r="B647" s="111" t="s">
        <v>423</v>
      </c>
      <c r="C647" s="111" t="s">
        <v>432</v>
      </c>
      <c r="D647" s="111" t="s">
        <v>76</v>
      </c>
      <c r="E647" s="111" t="s">
        <v>764</v>
      </c>
      <c r="F647" s="111"/>
      <c r="G647" s="112"/>
      <c r="H647" s="134"/>
      <c r="I647" s="112">
        <f>I648</f>
        <v>1100</v>
      </c>
      <c r="J647" s="134">
        <f t="shared" ref="J647:J648" si="324">J648</f>
        <v>0</v>
      </c>
      <c r="K647" s="112">
        <f>K648</f>
        <v>1100</v>
      </c>
      <c r="L647" s="112">
        <f t="shared" si="307"/>
        <v>100</v>
      </c>
    </row>
    <row r="648" spans="1:13" s="205" customFormat="1" ht="24">
      <c r="A648" s="219" t="s">
        <v>226</v>
      </c>
      <c r="B648" s="120" t="s">
        <v>423</v>
      </c>
      <c r="C648" s="120" t="s">
        <v>432</v>
      </c>
      <c r="D648" s="120" t="s">
        <v>76</v>
      </c>
      <c r="E648" s="120" t="s">
        <v>764</v>
      </c>
      <c r="F648" s="120" t="s">
        <v>434</v>
      </c>
      <c r="G648" s="112"/>
      <c r="H648" s="134"/>
      <c r="I648" s="121">
        <f>I649</f>
        <v>1100</v>
      </c>
      <c r="J648" s="135">
        <f t="shared" si="324"/>
        <v>0</v>
      </c>
      <c r="K648" s="121">
        <f>K649</f>
        <v>1100</v>
      </c>
      <c r="L648" s="121">
        <f t="shared" si="307"/>
        <v>100</v>
      </c>
    </row>
    <row r="649" spans="1:13" s="205" customFormat="1">
      <c r="A649" s="219" t="s">
        <v>435</v>
      </c>
      <c r="B649" s="120" t="s">
        <v>423</v>
      </c>
      <c r="C649" s="120" t="s">
        <v>432</v>
      </c>
      <c r="D649" s="120" t="s">
        <v>76</v>
      </c>
      <c r="E649" s="120" t="s">
        <v>764</v>
      </c>
      <c r="F649" s="120" t="s">
        <v>436</v>
      </c>
      <c r="G649" s="112"/>
      <c r="H649" s="134"/>
      <c r="I649" s="121">
        <v>1100</v>
      </c>
      <c r="J649" s="135">
        <v>0</v>
      </c>
      <c r="K649" s="121">
        <v>1100</v>
      </c>
      <c r="L649" s="121">
        <f t="shared" si="307"/>
        <v>100</v>
      </c>
    </row>
    <row r="650" spans="1:13" s="205" customFormat="1" ht="24">
      <c r="A650" s="124" t="s">
        <v>451</v>
      </c>
      <c r="B650" s="125" t="s">
        <v>423</v>
      </c>
      <c r="C650" s="125" t="s">
        <v>432</v>
      </c>
      <c r="D650" s="125" t="s">
        <v>76</v>
      </c>
      <c r="E650" s="125" t="s">
        <v>507</v>
      </c>
      <c r="F650" s="125"/>
      <c r="G650" s="126">
        <f>G651</f>
        <v>25495</v>
      </c>
      <c r="H650" s="134">
        <f t="shared" si="315"/>
        <v>0</v>
      </c>
      <c r="I650" s="126">
        <f>I651</f>
        <v>25495</v>
      </c>
      <c r="J650" s="126">
        <f t="shared" ref="J650:J651" si="325">J651</f>
        <v>4265.3829999999998</v>
      </c>
      <c r="K650" s="126">
        <f>K651</f>
        <v>15495</v>
      </c>
      <c r="L650" s="126">
        <f t="shared" si="307"/>
        <v>60.776622867228866</v>
      </c>
    </row>
    <row r="651" spans="1:13" s="205" customFormat="1" ht="24">
      <c r="A651" s="119" t="s">
        <v>104</v>
      </c>
      <c r="B651" s="120" t="s">
        <v>423</v>
      </c>
      <c r="C651" s="120" t="s">
        <v>432</v>
      </c>
      <c r="D651" s="120" t="s">
        <v>76</v>
      </c>
      <c r="E651" s="120" t="s">
        <v>507</v>
      </c>
      <c r="F651" s="120" t="s">
        <v>408</v>
      </c>
      <c r="G651" s="121">
        <f>G652</f>
        <v>25495</v>
      </c>
      <c r="H651" s="134">
        <f t="shared" si="315"/>
        <v>0</v>
      </c>
      <c r="I651" s="121">
        <f>I652</f>
        <v>25495</v>
      </c>
      <c r="J651" s="121">
        <f t="shared" si="325"/>
        <v>4265.3829999999998</v>
      </c>
      <c r="K651" s="121">
        <f>K652</f>
        <v>15495</v>
      </c>
      <c r="L651" s="121">
        <f t="shared" si="307"/>
        <v>60.776622867228866</v>
      </c>
    </row>
    <row r="652" spans="1:13" s="206" customFormat="1" ht="24">
      <c r="A652" s="119" t="s">
        <v>139</v>
      </c>
      <c r="B652" s="120" t="s">
        <v>423</v>
      </c>
      <c r="C652" s="120" t="s">
        <v>432</v>
      </c>
      <c r="D652" s="120" t="s">
        <v>76</v>
      </c>
      <c r="E652" s="120" t="s">
        <v>507</v>
      </c>
      <c r="F652" s="120" t="s">
        <v>463</v>
      </c>
      <c r="G652" s="121">
        <f>10495+15000</f>
        <v>25495</v>
      </c>
      <c r="H652" s="134">
        <f t="shared" si="315"/>
        <v>0</v>
      </c>
      <c r="I652" s="121">
        <f>10495+15000</f>
        <v>25495</v>
      </c>
      <c r="J652" s="121">
        <v>4265.3829999999998</v>
      </c>
      <c r="K652" s="121">
        <f>10495+15000-10000</f>
        <v>15495</v>
      </c>
      <c r="L652" s="121">
        <f t="shared" si="307"/>
        <v>60.776622867228866</v>
      </c>
      <c r="M652" s="256"/>
    </row>
    <row r="653" spans="1:13" s="205" customFormat="1" ht="24">
      <c r="A653" s="124" t="s">
        <v>159</v>
      </c>
      <c r="B653" s="125" t="s">
        <v>423</v>
      </c>
      <c r="C653" s="125" t="s">
        <v>432</v>
      </c>
      <c r="D653" s="125" t="s">
        <v>76</v>
      </c>
      <c r="E653" s="125" t="s">
        <v>671</v>
      </c>
      <c r="F653" s="125"/>
      <c r="G653" s="136">
        <f>G654</f>
        <v>2500</v>
      </c>
      <c r="H653" s="134">
        <f t="shared" si="315"/>
        <v>0</v>
      </c>
      <c r="I653" s="136">
        <f>I654</f>
        <v>2500</v>
      </c>
      <c r="J653" s="136">
        <f t="shared" ref="J653:J654" si="326">J654</f>
        <v>2255.7930000000001</v>
      </c>
      <c r="K653" s="136">
        <f>K654</f>
        <v>2500</v>
      </c>
      <c r="L653" s="126">
        <f t="shared" si="307"/>
        <v>100</v>
      </c>
    </row>
    <row r="654" spans="1:13" s="184" customFormat="1">
      <c r="A654" s="119" t="s">
        <v>301</v>
      </c>
      <c r="B654" s="120" t="s">
        <v>423</v>
      </c>
      <c r="C654" s="120" t="s">
        <v>432</v>
      </c>
      <c r="D654" s="120" t="s">
        <v>76</v>
      </c>
      <c r="E654" s="120" t="s">
        <v>671</v>
      </c>
      <c r="F654" s="120" t="s">
        <v>84</v>
      </c>
      <c r="G654" s="135">
        <f>G655</f>
        <v>2500</v>
      </c>
      <c r="H654" s="134">
        <f t="shared" si="315"/>
        <v>0</v>
      </c>
      <c r="I654" s="135">
        <f>I655</f>
        <v>2500</v>
      </c>
      <c r="J654" s="135">
        <f t="shared" si="326"/>
        <v>2255.7930000000001</v>
      </c>
      <c r="K654" s="135">
        <f>K655</f>
        <v>2500</v>
      </c>
      <c r="L654" s="121">
        <f t="shared" si="307"/>
        <v>100</v>
      </c>
    </row>
    <row r="655" spans="1:13" s="184" customFormat="1" ht="24">
      <c r="A655" s="119" t="s">
        <v>85</v>
      </c>
      <c r="B655" s="120" t="s">
        <v>423</v>
      </c>
      <c r="C655" s="120" t="s">
        <v>432</v>
      </c>
      <c r="D655" s="120" t="s">
        <v>76</v>
      </c>
      <c r="E655" s="120" t="s">
        <v>671</v>
      </c>
      <c r="F655" s="120" t="s">
        <v>86</v>
      </c>
      <c r="G655" s="135">
        <v>2500</v>
      </c>
      <c r="H655" s="134">
        <f t="shared" si="315"/>
        <v>0</v>
      </c>
      <c r="I655" s="135">
        <v>2500</v>
      </c>
      <c r="J655" s="135">
        <v>2255.7930000000001</v>
      </c>
      <c r="K655" s="135">
        <v>2500</v>
      </c>
      <c r="L655" s="121">
        <f t="shared" si="307"/>
        <v>100</v>
      </c>
    </row>
    <row r="656" spans="1:13" s="184" customFormat="1">
      <c r="A656" s="110" t="s">
        <v>377</v>
      </c>
      <c r="B656" s="111" t="s">
        <v>423</v>
      </c>
      <c r="C656" s="111" t="s">
        <v>432</v>
      </c>
      <c r="D656" s="111" t="s">
        <v>491</v>
      </c>
      <c r="E656" s="111"/>
      <c r="F656" s="111"/>
      <c r="G656" s="112" t="e">
        <f>G657</f>
        <v>#REF!</v>
      </c>
      <c r="H656" s="134" t="e">
        <f t="shared" si="315"/>
        <v>#REF!</v>
      </c>
      <c r="I656" s="112">
        <f>I657</f>
        <v>82230</v>
      </c>
      <c r="J656" s="112">
        <f t="shared" ref="J656:J657" si="327">J657</f>
        <v>33504.100999999995</v>
      </c>
      <c r="K656" s="112">
        <f>K657</f>
        <v>41730</v>
      </c>
      <c r="L656" s="112">
        <f t="shared" si="307"/>
        <v>50.747902225465161</v>
      </c>
    </row>
    <row r="657" spans="1:12" s="184" customFormat="1">
      <c r="A657" s="124" t="s">
        <v>378</v>
      </c>
      <c r="B657" s="125" t="s">
        <v>423</v>
      </c>
      <c r="C657" s="125" t="s">
        <v>432</v>
      </c>
      <c r="D657" s="125" t="s">
        <v>491</v>
      </c>
      <c r="E657" s="125"/>
      <c r="F657" s="125"/>
      <c r="G657" s="126" t="e">
        <f>G658</f>
        <v>#REF!</v>
      </c>
      <c r="H657" s="134" t="e">
        <f t="shared" si="315"/>
        <v>#REF!</v>
      </c>
      <c r="I657" s="126">
        <f>I658</f>
        <v>82230</v>
      </c>
      <c r="J657" s="126">
        <f t="shared" si="327"/>
        <v>33504.100999999995</v>
      </c>
      <c r="K657" s="126">
        <f>K658</f>
        <v>41730</v>
      </c>
      <c r="L657" s="126">
        <f t="shared" si="307"/>
        <v>50.747902225465161</v>
      </c>
    </row>
    <row r="658" spans="1:12" s="183" customFormat="1" ht="40.5">
      <c r="A658" s="123" t="s">
        <v>699</v>
      </c>
      <c r="B658" s="114" t="s">
        <v>423</v>
      </c>
      <c r="C658" s="114" t="s">
        <v>432</v>
      </c>
      <c r="D658" s="114" t="s">
        <v>491</v>
      </c>
      <c r="E658" s="114" t="s">
        <v>242</v>
      </c>
      <c r="F658" s="125"/>
      <c r="G658" s="115" t="e">
        <f>G659+G668+G674+G677</f>
        <v>#REF!</v>
      </c>
      <c r="H658" s="134" t="e">
        <f t="shared" si="315"/>
        <v>#REF!</v>
      </c>
      <c r="I658" s="115">
        <f>I659+I668+I674+I677</f>
        <v>82230</v>
      </c>
      <c r="J658" s="115">
        <f t="shared" ref="J658" si="328">J659+J668+J674+J677</f>
        <v>33504.100999999995</v>
      </c>
      <c r="K658" s="115">
        <f>K659+K668+K674+K677</f>
        <v>41730</v>
      </c>
      <c r="L658" s="115">
        <f t="shared" si="307"/>
        <v>50.747902225465161</v>
      </c>
    </row>
    <row r="659" spans="1:12" s="206" customFormat="1" ht="27">
      <c r="A659" s="123" t="s">
        <v>125</v>
      </c>
      <c r="B659" s="114" t="s">
        <v>423</v>
      </c>
      <c r="C659" s="114" t="s">
        <v>432</v>
      </c>
      <c r="D659" s="114" t="s">
        <v>491</v>
      </c>
      <c r="E659" s="114" t="s">
        <v>247</v>
      </c>
      <c r="F659" s="125"/>
      <c r="G659" s="115" t="e">
        <f>G660+#REF!+G665</f>
        <v>#REF!</v>
      </c>
      <c r="H659" s="134" t="e">
        <f t="shared" si="315"/>
        <v>#REF!</v>
      </c>
      <c r="I659" s="115">
        <f>I660+I665</f>
        <v>16100</v>
      </c>
      <c r="J659" s="115">
        <f t="shared" ref="J659" si="329">J660+J665</f>
        <v>14842.824000000001</v>
      </c>
      <c r="K659" s="115">
        <f>K660+K665</f>
        <v>16100</v>
      </c>
      <c r="L659" s="115">
        <f t="shared" si="307"/>
        <v>100</v>
      </c>
    </row>
    <row r="660" spans="1:12" s="206" customFormat="1" ht="24">
      <c r="A660" s="110" t="s">
        <v>660</v>
      </c>
      <c r="B660" s="111" t="s">
        <v>423</v>
      </c>
      <c r="C660" s="111" t="s">
        <v>432</v>
      </c>
      <c r="D660" s="111" t="s">
        <v>491</v>
      </c>
      <c r="E660" s="111" t="s">
        <v>661</v>
      </c>
      <c r="F660" s="120"/>
      <c r="G660" s="134">
        <f>G663</f>
        <v>14100</v>
      </c>
      <c r="H660" s="134">
        <f t="shared" si="315"/>
        <v>0</v>
      </c>
      <c r="I660" s="134">
        <f>I661+I663</f>
        <v>14100</v>
      </c>
      <c r="J660" s="134">
        <f t="shared" ref="J660" si="330">J661+J663</f>
        <v>13013.545</v>
      </c>
      <c r="K660" s="134">
        <f>K661+K663</f>
        <v>14100</v>
      </c>
      <c r="L660" s="112">
        <f t="shared" si="307"/>
        <v>100</v>
      </c>
    </row>
    <row r="661" spans="1:12" s="206" customFormat="1">
      <c r="A661" s="119" t="s">
        <v>301</v>
      </c>
      <c r="B661" s="137">
        <v>609</v>
      </c>
      <c r="C661" s="138" t="s">
        <v>432</v>
      </c>
      <c r="D661" s="138" t="s">
        <v>491</v>
      </c>
      <c r="E661" s="120" t="s">
        <v>661</v>
      </c>
      <c r="F661" s="120" t="s">
        <v>84</v>
      </c>
      <c r="G661" s="134"/>
      <c r="H661" s="134"/>
      <c r="I661" s="135">
        <f>I662</f>
        <v>3760</v>
      </c>
      <c r="J661" s="135">
        <f t="shared" ref="J661" si="331">J662</f>
        <v>2974.288</v>
      </c>
      <c r="K661" s="135">
        <f>K662</f>
        <v>3760</v>
      </c>
      <c r="L661" s="121">
        <f t="shared" si="307"/>
        <v>100</v>
      </c>
    </row>
    <row r="662" spans="1:12" s="206" customFormat="1" ht="24">
      <c r="A662" s="119" t="s">
        <v>85</v>
      </c>
      <c r="B662" s="120" t="s">
        <v>423</v>
      </c>
      <c r="C662" s="120" t="s">
        <v>432</v>
      </c>
      <c r="D662" s="120" t="s">
        <v>491</v>
      </c>
      <c r="E662" s="120" t="s">
        <v>661</v>
      </c>
      <c r="F662" s="120" t="s">
        <v>86</v>
      </c>
      <c r="G662" s="134"/>
      <c r="H662" s="134"/>
      <c r="I662" s="135">
        <v>3760</v>
      </c>
      <c r="J662" s="135">
        <v>2974.288</v>
      </c>
      <c r="K662" s="135">
        <v>3760</v>
      </c>
      <c r="L662" s="121">
        <f t="shared" si="307"/>
        <v>100</v>
      </c>
    </row>
    <row r="663" spans="1:12" s="206" customFormat="1" ht="24">
      <c r="A663" s="119" t="s">
        <v>433</v>
      </c>
      <c r="B663" s="137">
        <v>609</v>
      </c>
      <c r="C663" s="138" t="s">
        <v>432</v>
      </c>
      <c r="D663" s="138" t="s">
        <v>491</v>
      </c>
      <c r="E663" s="120" t="s">
        <v>661</v>
      </c>
      <c r="F663" s="120" t="s">
        <v>434</v>
      </c>
      <c r="G663" s="135">
        <f>G664</f>
        <v>14100</v>
      </c>
      <c r="H663" s="134">
        <f t="shared" si="315"/>
        <v>-3760</v>
      </c>
      <c r="I663" s="135">
        <f>I664</f>
        <v>10340</v>
      </c>
      <c r="J663" s="135">
        <f t="shared" ref="J663" si="332">J664</f>
        <v>10039.257</v>
      </c>
      <c r="K663" s="135">
        <f>K664</f>
        <v>10340</v>
      </c>
      <c r="L663" s="121">
        <f t="shared" si="307"/>
        <v>100</v>
      </c>
    </row>
    <row r="664" spans="1:12" s="206" customFormat="1">
      <c r="A664" s="119" t="s">
        <v>435</v>
      </c>
      <c r="B664" s="120" t="s">
        <v>423</v>
      </c>
      <c r="C664" s="120" t="s">
        <v>432</v>
      </c>
      <c r="D664" s="120" t="s">
        <v>491</v>
      </c>
      <c r="E664" s="120" t="s">
        <v>661</v>
      </c>
      <c r="F664" s="120" t="s">
        <v>436</v>
      </c>
      <c r="G664" s="135">
        <v>14100</v>
      </c>
      <c r="H664" s="134">
        <f t="shared" si="315"/>
        <v>-3760</v>
      </c>
      <c r="I664" s="135">
        <f>14100-3760</f>
        <v>10340</v>
      </c>
      <c r="J664" s="135">
        <v>10039.257</v>
      </c>
      <c r="K664" s="135">
        <f>14100-3760</f>
        <v>10340</v>
      </c>
      <c r="L664" s="121">
        <f t="shared" si="307"/>
        <v>100</v>
      </c>
    </row>
    <row r="665" spans="1:12" s="205" customFormat="1">
      <c r="A665" s="110" t="s">
        <v>695</v>
      </c>
      <c r="B665" s="111" t="s">
        <v>423</v>
      </c>
      <c r="C665" s="111" t="s">
        <v>432</v>
      </c>
      <c r="D665" s="111" t="s">
        <v>491</v>
      </c>
      <c r="E665" s="111" t="s">
        <v>662</v>
      </c>
      <c r="F665" s="111"/>
      <c r="G665" s="134">
        <f>G666</f>
        <v>1000</v>
      </c>
      <c r="H665" s="134">
        <f t="shared" si="315"/>
        <v>1000</v>
      </c>
      <c r="I665" s="134">
        <f>I666</f>
        <v>2000</v>
      </c>
      <c r="J665" s="134">
        <f t="shared" ref="J665:J666" si="333">J666</f>
        <v>1829.279</v>
      </c>
      <c r="K665" s="134">
        <f>K666</f>
        <v>2000</v>
      </c>
      <c r="L665" s="112">
        <f t="shared" si="307"/>
        <v>100</v>
      </c>
    </row>
    <row r="666" spans="1:12" s="205" customFormat="1">
      <c r="A666" s="119" t="s">
        <v>301</v>
      </c>
      <c r="B666" s="120" t="s">
        <v>423</v>
      </c>
      <c r="C666" s="120" t="s">
        <v>432</v>
      </c>
      <c r="D666" s="120" t="s">
        <v>491</v>
      </c>
      <c r="E666" s="120" t="s">
        <v>662</v>
      </c>
      <c r="F666" s="120" t="s">
        <v>84</v>
      </c>
      <c r="G666" s="135">
        <f>G667</f>
        <v>1000</v>
      </c>
      <c r="H666" s="134">
        <f t="shared" si="315"/>
        <v>1000</v>
      </c>
      <c r="I666" s="135">
        <f>I667</f>
        <v>2000</v>
      </c>
      <c r="J666" s="135">
        <f t="shared" si="333"/>
        <v>1829.279</v>
      </c>
      <c r="K666" s="135">
        <f>K667</f>
        <v>2000</v>
      </c>
      <c r="L666" s="121">
        <f t="shared" si="307"/>
        <v>100</v>
      </c>
    </row>
    <row r="667" spans="1:12" s="205" customFormat="1" ht="24">
      <c r="A667" s="119" t="s">
        <v>85</v>
      </c>
      <c r="B667" s="120" t="s">
        <v>423</v>
      </c>
      <c r="C667" s="120" t="s">
        <v>432</v>
      </c>
      <c r="D667" s="120" t="s">
        <v>491</v>
      </c>
      <c r="E667" s="120" t="s">
        <v>662</v>
      </c>
      <c r="F667" s="120" t="s">
        <v>86</v>
      </c>
      <c r="G667" s="135">
        <v>1000</v>
      </c>
      <c r="H667" s="134">
        <f t="shared" si="315"/>
        <v>1000</v>
      </c>
      <c r="I667" s="135">
        <f>1000+1000</f>
        <v>2000</v>
      </c>
      <c r="J667" s="135">
        <v>1829.279</v>
      </c>
      <c r="K667" s="135">
        <f>1000+1000</f>
        <v>2000</v>
      </c>
      <c r="L667" s="121">
        <f t="shared" si="307"/>
        <v>100</v>
      </c>
    </row>
    <row r="668" spans="1:12" s="184" customFormat="1" ht="24">
      <c r="A668" s="110" t="s">
        <v>651</v>
      </c>
      <c r="B668" s="111" t="s">
        <v>423</v>
      </c>
      <c r="C668" s="111" t="s">
        <v>432</v>
      </c>
      <c r="D668" s="111" t="s">
        <v>491</v>
      </c>
      <c r="E668" s="111" t="s">
        <v>152</v>
      </c>
      <c r="F668" s="120"/>
      <c r="G668" s="112">
        <f>G669</f>
        <v>69030</v>
      </c>
      <c r="H668" s="134">
        <f t="shared" si="315"/>
        <v>-9100</v>
      </c>
      <c r="I668" s="112">
        <f>I669</f>
        <v>59930</v>
      </c>
      <c r="J668" s="112">
        <f t="shared" ref="J668" si="334">J669</f>
        <v>17666.167999999998</v>
      </c>
      <c r="K668" s="112">
        <f>K669</f>
        <v>21930</v>
      </c>
      <c r="L668" s="112">
        <f t="shared" si="307"/>
        <v>36.592691473385621</v>
      </c>
    </row>
    <row r="669" spans="1:12" s="184" customFormat="1" ht="24">
      <c r="A669" s="124" t="s">
        <v>652</v>
      </c>
      <c r="B669" s="125" t="s">
        <v>423</v>
      </c>
      <c r="C669" s="125" t="s">
        <v>432</v>
      </c>
      <c r="D669" s="125" t="s">
        <v>491</v>
      </c>
      <c r="E669" s="125" t="s">
        <v>663</v>
      </c>
      <c r="F669" s="139"/>
      <c r="G669" s="126">
        <f>G670+G672</f>
        <v>69030</v>
      </c>
      <c r="H669" s="134">
        <f t="shared" si="315"/>
        <v>-9100</v>
      </c>
      <c r="I669" s="126">
        <f>I670+I672</f>
        <v>59930</v>
      </c>
      <c r="J669" s="126">
        <f t="shared" ref="J669" si="335">J670+J672</f>
        <v>17666.167999999998</v>
      </c>
      <c r="K669" s="126">
        <f>K670+K672</f>
        <v>21930</v>
      </c>
      <c r="L669" s="126">
        <f t="shared" si="307"/>
        <v>36.592691473385621</v>
      </c>
    </row>
    <row r="670" spans="1:12" s="184" customFormat="1">
      <c r="A670" s="119" t="s">
        <v>301</v>
      </c>
      <c r="B670" s="120" t="s">
        <v>423</v>
      </c>
      <c r="C670" s="120" t="s">
        <v>432</v>
      </c>
      <c r="D670" s="120" t="s">
        <v>491</v>
      </c>
      <c r="E670" s="120" t="s">
        <v>663</v>
      </c>
      <c r="F670" s="120" t="s">
        <v>84</v>
      </c>
      <c r="G670" s="121">
        <f>G671</f>
        <v>24100</v>
      </c>
      <c r="H670" s="134">
        <f t="shared" si="315"/>
        <v>16200</v>
      </c>
      <c r="I670" s="121">
        <f>I671</f>
        <v>40300</v>
      </c>
      <c r="J670" s="121">
        <f t="shared" ref="J670" si="336">J671</f>
        <v>17176.976999999999</v>
      </c>
      <c r="K670" s="121">
        <f>K671</f>
        <v>20300</v>
      </c>
      <c r="L670" s="121">
        <f t="shared" si="307"/>
        <v>50.372208436724563</v>
      </c>
    </row>
    <row r="671" spans="1:12" s="184" customFormat="1" ht="24">
      <c r="A671" s="119" t="s">
        <v>85</v>
      </c>
      <c r="B671" s="120" t="s">
        <v>423</v>
      </c>
      <c r="C671" s="120" t="s">
        <v>432</v>
      </c>
      <c r="D671" s="120" t="s">
        <v>491</v>
      </c>
      <c r="E671" s="120" t="s">
        <v>663</v>
      </c>
      <c r="F671" s="120" t="s">
        <v>86</v>
      </c>
      <c r="G671" s="121">
        <f>2000+21000+1000+100</f>
        <v>24100</v>
      </c>
      <c r="H671" s="134">
        <f t="shared" si="315"/>
        <v>16200</v>
      </c>
      <c r="I671" s="121">
        <f>2000+21000+1000+100+1000+5500+9700</f>
        <v>40300</v>
      </c>
      <c r="J671" s="121">
        <v>17176.976999999999</v>
      </c>
      <c r="K671" s="121">
        <f>2000+21000+1000+100+1000+5500+9700-20000</f>
        <v>20300</v>
      </c>
      <c r="L671" s="121">
        <f t="shared" ref="L671:L713" si="337">K671/I671*100</f>
        <v>50.372208436724563</v>
      </c>
    </row>
    <row r="672" spans="1:12" s="184" customFormat="1" ht="24">
      <c r="A672" s="119" t="s">
        <v>433</v>
      </c>
      <c r="B672" s="137">
        <v>609</v>
      </c>
      <c r="C672" s="138" t="s">
        <v>432</v>
      </c>
      <c r="D672" s="138" t="s">
        <v>491</v>
      </c>
      <c r="E672" s="120" t="s">
        <v>663</v>
      </c>
      <c r="F672" s="120" t="s">
        <v>434</v>
      </c>
      <c r="G672" s="121">
        <f>G673</f>
        <v>44930</v>
      </c>
      <c r="H672" s="134">
        <f t="shared" si="315"/>
        <v>-25300</v>
      </c>
      <c r="I672" s="121">
        <f>I673</f>
        <v>19630</v>
      </c>
      <c r="J672" s="121">
        <f t="shared" ref="J672" si="338">J673</f>
        <v>489.19099999999997</v>
      </c>
      <c r="K672" s="121">
        <f>K673</f>
        <v>1630</v>
      </c>
      <c r="L672" s="121">
        <f t="shared" si="337"/>
        <v>8.303616912888435</v>
      </c>
    </row>
    <row r="673" spans="1:12" s="184" customFormat="1">
      <c r="A673" s="119" t="s">
        <v>435</v>
      </c>
      <c r="B673" s="120" t="s">
        <v>423</v>
      </c>
      <c r="C673" s="120" t="s">
        <v>432</v>
      </c>
      <c r="D673" s="120" t="s">
        <v>491</v>
      </c>
      <c r="E673" s="120" t="s">
        <v>663</v>
      </c>
      <c r="F673" s="120" t="s">
        <v>436</v>
      </c>
      <c r="G673" s="121">
        <v>44930</v>
      </c>
      <c r="H673" s="134">
        <f t="shared" si="315"/>
        <v>-25300</v>
      </c>
      <c r="I673" s="121">
        <f>44930-1000-5500-9700-9100</f>
        <v>19630</v>
      </c>
      <c r="J673" s="121">
        <v>489.19099999999997</v>
      </c>
      <c r="K673" s="121">
        <f>44930-1000-5500-9700-9100-18000</f>
        <v>1630</v>
      </c>
      <c r="L673" s="121">
        <f t="shared" si="337"/>
        <v>8.303616912888435</v>
      </c>
    </row>
    <row r="674" spans="1:12" s="184" customFormat="1" ht="24">
      <c r="A674" s="110" t="s">
        <v>153</v>
      </c>
      <c r="B674" s="111" t="s">
        <v>423</v>
      </c>
      <c r="C674" s="111" t="s">
        <v>432</v>
      </c>
      <c r="D674" s="111" t="s">
        <v>491</v>
      </c>
      <c r="E674" s="111" t="s">
        <v>668</v>
      </c>
      <c r="F674" s="111"/>
      <c r="G674" s="112">
        <f>G675</f>
        <v>1200</v>
      </c>
      <c r="H674" s="134">
        <f t="shared" si="315"/>
        <v>0</v>
      </c>
      <c r="I674" s="112">
        <f>I675</f>
        <v>1200</v>
      </c>
      <c r="J674" s="134">
        <f t="shared" ref="J674:J675" si="339">J675</f>
        <v>0</v>
      </c>
      <c r="K674" s="112">
        <f>K675</f>
        <v>700</v>
      </c>
      <c r="L674" s="112">
        <f t="shared" si="337"/>
        <v>58.333333333333336</v>
      </c>
    </row>
    <row r="675" spans="1:12" s="184" customFormat="1">
      <c r="A675" s="119" t="s">
        <v>301</v>
      </c>
      <c r="B675" s="120" t="s">
        <v>423</v>
      </c>
      <c r="C675" s="120" t="s">
        <v>432</v>
      </c>
      <c r="D675" s="120" t="s">
        <v>491</v>
      </c>
      <c r="E675" s="120" t="s">
        <v>668</v>
      </c>
      <c r="F675" s="120" t="s">
        <v>84</v>
      </c>
      <c r="G675" s="121">
        <f>G676</f>
        <v>1200</v>
      </c>
      <c r="H675" s="134">
        <f t="shared" si="315"/>
        <v>0</v>
      </c>
      <c r="I675" s="121">
        <f>I676</f>
        <v>1200</v>
      </c>
      <c r="J675" s="135">
        <f t="shared" si="339"/>
        <v>0</v>
      </c>
      <c r="K675" s="121">
        <f>K676</f>
        <v>700</v>
      </c>
      <c r="L675" s="121">
        <f t="shared" si="337"/>
        <v>58.333333333333336</v>
      </c>
    </row>
    <row r="676" spans="1:12" s="184" customFormat="1" ht="24">
      <c r="A676" s="119" t="s">
        <v>85</v>
      </c>
      <c r="B676" s="120" t="s">
        <v>423</v>
      </c>
      <c r="C676" s="120" t="s">
        <v>432</v>
      </c>
      <c r="D676" s="120" t="s">
        <v>491</v>
      </c>
      <c r="E676" s="120" t="s">
        <v>668</v>
      </c>
      <c r="F676" s="120" t="s">
        <v>86</v>
      </c>
      <c r="G676" s="121">
        <v>1200</v>
      </c>
      <c r="H676" s="134">
        <f t="shared" si="315"/>
        <v>0</v>
      </c>
      <c r="I676" s="121">
        <v>1200</v>
      </c>
      <c r="J676" s="135">
        <v>0</v>
      </c>
      <c r="K676" s="121">
        <f>1200-500</f>
        <v>700</v>
      </c>
      <c r="L676" s="121">
        <f t="shared" si="337"/>
        <v>58.333333333333336</v>
      </c>
    </row>
    <row r="677" spans="1:12" s="184" customFormat="1" ht="24">
      <c r="A677" s="110" t="s">
        <v>450</v>
      </c>
      <c r="B677" s="111" t="s">
        <v>452</v>
      </c>
      <c r="C677" s="111" t="s">
        <v>432</v>
      </c>
      <c r="D677" s="111" t="s">
        <v>491</v>
      </c>
      <c r="E677" s="111" t="s">
        <v>126</v>
      </c>
      <c r="F677" s="111"/>
      <c r="G677" s="112">
        <f>G678</f>
        <v>5000</v>
      </c>
      <c r="H677" s="134">
        <f t="shared" si="315"/>
        <v>0</v>
      </c>
      <c r="I677" s="112">
        <f>I678</f>
        <v>5000</v>
      </c>
      <c r="J677" s="112">
        <f t="shared" ref="J677:J679" si="340">J678</f>
        <v>995.10900000000004</v>
      </c>
      <c r="K677" s="112">
        <f>K678</f>
        <v>3000</v>
      </c>
      <c r="L677" s="112">
        <f t="shared" si="337"/>
        <v>60</v>
      </c>
    </row>
    <row r="678" spans="1:12" s="184" customFormat="1" ht="24">
      <c r="A678" s="124" t="s">
        <v>674</v>
      </c>
      <c r="B678" s="125" t="s">
        <v>423</v>
      </c>
      <c r="C678" s="125" t="s">
        <v>432</v>
      </c>
      <c r="D678" s="125" t="s">
        <v>491</v>
      </c>
      <c r="E678" s="125" t="s">
        <v>675</v>
      </c>
      <c r="F678" s="125"/>
      <c r="G678" s="126">
        <f>G679</f>
        <v>5000</v>
      </c>
      <c r="H678" s="134">
        <f t="shared" si="315"/>
        <v>0</v>
      </c>
      <c r="I678" s="126">
        <f>I679</f>
        <v>5000</v>
      </c>
      <c r="J678" s="126">
        <f t="shared" si="340"/>
        <v>995.10900000000004</v>
      </c>
      <c r="K678" s="126">
        <f>K679</f>
        <v>3000</v>
      </c>
      <c r="L678" s="126">
        <f t="shared" si="337"/>
        <v>60</v>
      </c>
    </row>
    <row r="679" spans="1:12" s="184" customFormat="1">
      <c r="A679" s="119" t="s">
        <v>301</v>
      </c>
      <c r="B679" s="120" t="s">
        <v>423</v>
      </c>
      <c r="C679" s="120" t="s">
        <v>432</v>
      </c>
      <c r="D679" s="120" t="s">
        <v>491</v>
      </c>
      <c r="E679" s="120" t="s">
        <v>675</v>
      </c>
      <c r="F679" s="120" t="s">
        <v>84</v>
      </c>
      <c r="G679" s="121">
        <f>G680</f>
        <v>5000</v>
      </c>
      <c r="H679" s="134">
        <f t="shared" si="315"/>
        <v>0</v>
      </c>
      <c r="I679" s="121">
        <f>I680</f>
        <v>5000</v>
      </c>
      <c r="J679" s="121">
        <f t="shared" si="340"/>
        <v>995.10900000000004</v>
      </c>
      <c r="K679" s="121">
        <f>K680</f>
        <v>3000</v>
      </c>
      <c r="L679" s="121">
        <f t="shared" si="337"/>
        <v>60</v>
      </c>
    </row>
    <row r="680" spans="1:12" s="184" customFormat="1" ht="24">
      <c r="A680" s="119" t="s">
        <v>85</v>
      </c>
      <c r="B680" s="120" t="s">
        <v>423</v>
      </c>
      <c r="C680" s="120" t="s">
        <v>432</v>
      </c>
      <c r="D680" s="120" t="s">
        <v>491</v>
      </c>
      <c r="E680" s="120" t="s">
        <v>675</v>
      </c>
      <c r="F680" s="120" t="s">
        <v>86</v>
      </c>
      <c r="G680" s="121">
        <v>5000</v>
      </c>
      <c r="H680" s="134">
        <f t="shared" si="315"/>
        <v>0</v>
      </c>
      <c r="I680" s="121">
        <v>5000</v>
      </c>
      <c r="J680" s="121">
        <v>995.10900000000004</v>
      </c>
      <c r="K680" s="121">
        <f>5000-2000</f>
        <v>3000</v>
      </c>
      <c r="L680" s="121">
        <f t="shared" si="337"/>
        <v>60</v>
      </c>
    </row>
    <row r="681" spans="1:12" s="184" customFormat="1">
      <c r="A681" s="110" t="s">
        <v>379</v>
      </c>
      <c r="B681" s="111" t="s">
        <v>423</v>
      </c>
      <c r="C681" s="111" t="s">
        <v>432</v>
      </c>
      <c r="D681" s="111" t="s">
        <v>483</v>
      </c>
      <c r="E681" s="111"/>
      <c r="F681" s="111"/>
      <c r="G681" s="112">
        <f>G682</f>
        <v>141385</v>
      </c>
      <c r="H681" s="134">
        <f t="shared" si="315"/>
        <v>0</v>
      </c>
      <c r="I681" s="112">
        <f>I682</f>
        <v>141385</v>
      </c>
      <c r="J681" s="112">
        <f t="shared" ref="J681:J682" si="341">J682</f>
        <v>109003.503</v>
      </c>
      <c r="K681" s="112">
        <f>K682</f>
        <v>136385</v>
      </c>
      <c r="L681" s="112">
        <f t="shared" si="337"/>
        <v>96.463556954415253</v>
      </c>
    </row>
    <row r="682" spans="1:12" s="184" customFormat="1" ht="40.5">
      <c r="A682" s="123" t="s">
        <v>699</v>
      </c>
      <c r="B682" s="114" t="s">
        <v>423</v>
      </c>
      <c r="C682" s="114" t="s">
        <v>432</v>
      </c>
      <c r="D682" s="114" t="s">
        <v>483</v>
      </c>
      <c r="E682" s="114" t="s">
        <v>242</v>
      </c>
      <c r="F682" s="114"/>
      <c r="G682" s="115">
        <f>G683</f>
        <v>141385</v>
      </c>
      <c r="H682" s="134">
        <f t="shared" si="315"/>
        <v>0</v>
      </c>
      <c r="I682" s="115">
        <f>I683</f>
        <v>141385</v>
      </c>
      <c r="J682" s="115">
        <f t="shared" si="341"/>
        <v>109003.503</v>
      </c>
      <c r="K682" s="115">
        <f>K683</f>
        <v>136385</v>
      </c>
      <c r="L682" s="115">
        <f t="shared" si="337"/>
        <v>96.463556954415253</v>
      </c>
    </row>
    <row r="683" spans="1:12" s="184" customFormat="1" ht="24">
      <c r="A683" s="110" t="s">
        <v>450</v>
      </c>
      <c r="B683" s="111" t="s">
        <v>452</v>
      </c>
      <c r="C683" s="111" t="s">
        <v>432</v>
      </c>
      <c r="D683" s="111" t="s">
        <v>483</v>
      </c>
      <c r="E683" s="111" t="s">
        <v>126</v>
      </c>
      <c r="F683" s="111"/>
      <c r="G683" s="112">
        <f>G684+G687+G690</f>
        <v>141385</v>
      </c>
      <c r="H683" s="134">
        <f t="shared" si="315"/>
        <v>0</v>
      </c>
      <c r="I683" s="112">
        <f>I684+I687+I690</f>
        <v>141385</v>
      </c>
      <c r="J683" s="112">
        <f t="shared" ref="J683" si="342">J684+J687+J690</f>
        <v>109003.503</v>
      </c>
      <c r="K683" s="112">
        <f>K684+K687+K690</f>
        <v>136385</v>
      </c>
      <c r="L683" s="112">
        <f t="shared" si="337"/>
        <v>96.463556954415253</v>
      </c>
    </row>
    <row r="684" spans="1:12" s="205" customFormat="1" ht="24">
      <c r="A684" s="124" t="s">
        <v>60</v>
      </c>
      <c r="B684" s="125" t="s">
        <v>452</v>
      </c>
      <c r="C684" s="125" t="s">
        <v>432</v>
      </c>
      <c r="D684" s="125" t="s">
        <v>483</v>
      </c>
      <c r="E684" s="125" t="s">
        <v>669</v>
      </c>
      <c r="F684" s="139"/>
      <c r="G684" s="126">
        <f>G685</f>
        <v>22385</v>
      </c>
      <c r="H684" s="134">
        <f t="shared" si="315"/>
        <v>0</v>
      </c>
      <c r="I684" s="126">
        <f>I685</f>
        <v>22385</v>
      </c>
      <c r="J684" s="126">
        <f t="shared" ref="J684:J685" si="343">J685</f>
        <v>19096.016</v>
      </c>
      <c r="K684" s="126">
        <f>K685</f>
        <v>22385</v>
      </c>
      <c r="L684" s="126">
        <f t="shared" si="337"/>
        <v>100</v>
      </c>
    </row>
    <row r="685" spans="1:12" s="184" customFormat="1" ht="24">
      <c r="A685" s="119" t="s">
        <v>104</v>
      </c>
      <c r="B685" s="120" t="s">
        <v>423</v>
      </c>
      <c r="C685" s="120" t="s">
        <v>432</v>
      </c>
      <c r="D685" s="120" t="s">
        <v>483</v>
      </c>
      <c r="E685" s="120" t="s">
        <v>669</v>
      </c>
      <c r="F685" s="120" t="s">
        <v>408</v>
      </c>
      <c r="G685" s="121">
        <f>G686</f>
        <v>22385</v>
      </c>
      <c r="H685" s="134">
        <f t="shared" si="315"/>
        <v>0</v>
      </c>
      <c r="I685" s="121">
        <f>I686</f>
        <v>22385</v>
      </c>
      <c r="J685" s="121">
        <f t="shared" si="343"/>
        <v>19096.016</v>
      </c>
      <c r="K685" s="121">
        <f>K686</f>
        <v>22385</v>
      </c>
      <c r="L685" s="121">
        <f t="shared" si="337"/>
        <v>100</v>
      </c>
    </row>
    <row r="686" spans="1:12" s="205" customFormat="1">
      <c r="A686" s="119" t="s">
        <v>105</v>
      </c>
      <c r="B686" s="120" t="s">
        <v>423</v>
      </c>
      <c r="C686" s="120" t="s">
        <v>432</v>
      </c>
      <c r="D686" s="120" t="s">
        <v>483</v>
      </c>
      <c r="E686" s="120" t="s">
        <v>669</v>
      </c>
      <c r="F686" s="120" t="s">
        <v>425</v>
      </c>
      <c r="G686" s="121">
        <v>22385</v>
      </c>
      <c r="H686" s="134">
        <f t="shared" si="315"/>
        <v>0</v>
      </c>
      <c r="I686" s="121">
        <v>22385</v>
      </c>
      <c r="J686" s="121">
        <v>19096.016</v>
      </c>
      <c r="K686" s="121">
        <v>22385</v>
      </c>
      <c r="L686" s="121">
        <f t="shared" si="337"/>
        <v>100</v>
      </c>
    </row>
    <row r="687" spans="1:12" s="205" customFormat="1" ht="48">
      <c r="A687" s="140" t="s">
        <v>358</v>
      </c>
      <c r="B687" s="125" t="s">
        <v>423</v>
      </c>
      <c r="C687" s="125" t="s">
        <v>432</v>
      </c>
      <c r="D687" s="125" t="s">
        <v>483</v>
      </c>
      <c r="E687" s="125" t="s">
        <v>672</v>
      </c>
      <c r="F687" s="125"/>
      <c r="G687" s="136">
        <f>G688</f>
        <v>34000</v>
      </c>
      <c r="H687" s="134">
        <f t="shared" si="315"/>
        <v>0</v>
      </c>
      <c r="I687" s="136">
        <f>I688</f>
        <v>34000</v>
      </c>
      <c r="J687" s="136">
        <f t="shared" ref="J687:J688" si="344">J688</f>
        <v>31315.237000000001</v>
      </c>
      <c r="K687" s="136">
        <f>K688</f>
        <v>34000</v>
      </c>
      <c r="L687" s="126">
        <f t="shared" si="337"/>
        <v>100</v>
      </c>
    </row>
    <row r="688" spans="1:12" s="205" customFormat="1">
      <c r="A688" s="119" t="s">
        <v>87</v>
      </c>
      <c r="B688" s="120" t="s">
        <v>423</v>
      </c>
      <c r="C688" s="120" t="s">
        <v>432</v>
      </c>
      <c r="D688" s="120" t="s">
        <v>483</v>
      </c>
      <c r="E688" s="120" t="s">
        <v>672</v>
      </c>
      <c r="F688" s="120" t="s">
        <v>88</v>
      </c>
      <c r="G688" s="135">
        <f>G689</f>
        <v>34000</v>
      </c>
      <c r="H688" s="134">
        <f t="shared" si="315"/>
        <v>0</v>
      </c>
      <c r="I688" s="135">
        <f>I689</f>
        <v>34000</v>
      </c>
      <c r="J688" s="135">
        <f t="shared" si="344"/>
        <v>31315.237000000001</v>
      </c>
      <c r="K688" s="135">
        <f>K689</f>
        <v>34000</v>
      </c>
      <c r="L688" s="121">
        <f t="shared" si="337"/>
        <v>100</v>
      </c>
    </row>
    <row r="689" spans="1:12" s="205" customFormat="1" ht="24">
      <c r="A689" s="119" t="s">
        <v>513</v>
      </c>
      <c r="B689" s="120" t="s">
        <v>423</v>
      </c>
      <c r="C689" s="120" t="s">
        <v>432</v>
      </c>
      <c r="D689" s="120" t="s">
        <v>483</v>
      </c>
      <c r="E689" s="120" t="s">
        <v>672</v>
      </c>
      <c r="F689" s="120" t="s">
        <v>430</v>
      </c>
      <c r="G689" s="135">
        <v>34000</v>
      </c>
      <c r="H689" s="134">
        <f t="shared" si="315"/>
        <v>0</v>
      </c>
      <c r="I689" s="135">
        <v>34000</v>
      </c>
      <c r="J689" s="135">
        <v>31315.237000000001</v>
      </c>
      <c r="K689" s="135">
        <v>34000</v>
      </c>
      <c r="L689" s="121">
        <f t="shared" si="337"/>
        <v>100</v>
      </c>
    </row>
    <row r="690" spans="1:12" s="205" customFormat="1">
      <c r="A690" s="124" t="s">
        <v>248</v>
      </c>
      <c r="B690" s="125" t="s">
        <v>423</v>
      </c>
      <c r="C690" s="125" t="s">
        <v>432</v>
      </c>
      <c r="D690" s="125" t="s">
        <v>483</v>
      </c>
      <c r="E690" s="125" t="s">
        <v>673</v>
      </c>
      <c r="F690" s="125"/>
      <c r="G690" s="126">
        <f>G691</f>
        <v>85000</v>
      </c>
      <c r="H690" s="134">
        <f t="shared" si="315"/>
        <v>0</v>
      </c>
      <c r="I690" s="126">
        <f>I691</f>
        <v>85000</v>
      </c>
      <c r="J690" s="126">
        <f t="shared" ref="J690:J691" si="345">J691</f>
        <v>58592.25</v>
      </c>
      <c r="K690" s="126">
        <f>K691</f>
        <v>80000</v>
      </c>
      <c r="L690" s="126">
        <f t="shared" si="337"/>
        <v>94.117647058823522</v>
      </c>
    </row>
    <row r="691" spans="1:12" s="205" customFormat="1">
      <c r="A691" s="119" t="s">
        <v>301</v>
      </c>
      <c r="B691" s="120" t="s">
        <v>423</v>
      </c>
      <c r="C691" s="120" t="s">
        <v>432</v>
      </c>
      <c r="D691" s="120" t="s">
        <v>483</v>
      </c>
      <c r="E691" s="120" t="s">
        <v>673</v>
      </c>
      <c r="F691" s="120" t="s">
        <v>84</v>
      </c>
      <c r="G691" s="121">
        <f>G692</f>
        <v>85000</v>
      </c>
      <c r="H691" s="134">
        <f t="shared" si="315"/>
        <v>0</v>
      </c>
      <c r="I691" s="121">
        <f>I692</f>
        <v>85000</v>
      </c>
      <c r="J691" s="121">
        <f t="shared" si="345"/>
        <v>58592.25</v>
      </c>
      <c r="K691" s="121">
        <f>K692</f>
        <v>80000</v>
      </c>
      <c r="L691" s="121">
        <f t="shared" si="337"/>
        <v>94.117647058823522</v>
      </c>
    </row>
    <row r="692" spans="1:12" s="205" customFormat="1" ht="24">
      <c r="A692" s="119" t="s">
        <v>85</v>
      </c>
      <c r="B692" s="120" t="s">
        <v>423</v>
      </c>
      <c r="C692" s="120" t="s">
        <v>432</v>
      </c>
      <c r="D692" s="120" t="s">
        <v>483</v>
      </c>
      <c r="E692" s="120" t="s">
        <v>673</v>
      </c>
      <c r="F692" s="120" t="s">
        <v>86</v>
      </c>
      <c r="G692" s="121">
        <v>85000</v>
      </c>
      <c r="H692" s="134">
        <f t="shared" si="315"/>
        <v>0</v>
      </c>
      <c r="I692" s="121">
        <v>85000</v>
      </c>
      <c r="J692" s="121">
        <v>58592.25</v>
      </c>
      <c r="K692" s="121">
        <f>85000-5000</f>
        <v>80000</v>
      </c>
      <c r="L692" s="121">
        <f t="shared" si="337"/>
        <v>94.117647058823522</v>
      </c>
    </row>
    <row r="693" spans="1:12" s="205" customFormat="1">
      <c r="A693" s="110" t="s">
        <v>380</v>
      </c>
      <c r="B693" s="111" t="s">
        <v>423</v>
      </c>
      <c r="C693" s="111" t="s">
        <v>432</v>
      </c>
      <c r="D693" s="111" t="s">
        <v>432</v>
      </c>
      <c r="E693" s="111"/>
      <c r="F693" s="111"/>
      <c r="G693" s="112">
        <f>G694</f>
        <v>21778.2</v>
      </c>
      <c r="H693" s="134">
        <f t="shared" si="315"/>
        <v>2578.8029999999999</v>
      </c>
      <c r="I693" s="112">
        <f>I694</f>
        <v>24357.003000000001</v>
      </c>
      <c r="J693" s="112">
        <f t="shared" ref="J693" si="346">J694</f>
        <v>17692.525999999998</v>
      </c>
      <c r="K693" s="112">
        <f>K694</f>
        <v>24357.003000000001</v>
      </c>
      <c r="L693" s="112">
        <f t="shared" si="337"/>
        <v>100</v>
      </c>
    </row>
    <row r="694" spans="1:12" s="184" customFormat="1" ht="40.5">
      <c r="A694" s="123" t="s">
        <v>699</v>
      </c>
      <c r="B694" s="114" t="s">
        <v>423</v>
      </c>
      <c r="C694" s="114" t="s">
        <v>432</v>
      </c>
      <c r="D694" s="114" t="s">
        <v>432</v>
      </c>
      <c r="E694" s="114" t="s">
        <v>242</v>
      </c>
      <c r="F694" s="114"/>
      <c r="G694" s="115">
        <f>G695+G706</f>
        <v>21778.2</v>
      </c>
      <c r="H694" s="134">
        <f t="shared" si="315"/>
        <v>2578.8029999999999</v>
      </c>
      <c r="I694" s="115">
        <f>I695+I706</f>
        <v>24357.003000000001</v>
      </c>
      <c r="J694" s="115">
        <f t="shared" ref="J694" si="347">J695+J706</f>
        <v>17692.525999999998</v>
      </c>
      <c r="K694" s="115">
        <f>K695+K706</f>
        <v>24357.003000000001</v>
      </c>
      <c r="L694" s="115">
        <f t="shared" si="337"/>
        <v>100</v>
      </c>
    </row>
    <row r="695" spans="1:12" s="184" customFormat="1" ht="24">
      <c r="A695" s="110" t="s">
        <v>450</v>
      </c>
      <c r="B695" s="111" t="s">
        <v>423</v>
      </c>
      <c r="C695" s="111" t="s">
        <v>432</v>
      </c>
      <c r="D695" s="111" t="s">
        <v>432</v>
      </c>
      <c r="E695" s="111" t="s">
        <v>126</v>
      </c>
      <c r="F695" s="120"/>
      <c r="G695" s="112">
        <f>G696</f>
        <v>14850</v>
      </c>
      <c r="H695" s="134">
        <f t="shared" ref="H695:H758" si="348">I695-G695</f>
        <v>0</v>
      </c>
      <c r="I695" s="112">
        <f>I696</f>
        <v>14850</v>
      </c>
      <c r="J695" s="112">
        <f t="shared" ref="J695:J696" si="349">J696</f>
        <v>11256.455</v>
      </c>
      <c r="K695" s="112">
        <f>K696</f>
        <v>14850</v>
      </c>
      <c r="L695" s="112">
        <f t="shared" si="337"/>
        <v>100</v>
      </c>
    </row>
    <row r="696" spans="1:12" s="184" customFormat="1" ht="24">
      <c r="A696" s="110" t="s">
        <v>250</v>
      </c>
      <c r="B696" s="111" t="s">
        <v>423</v>
      </c>
      <c r="C696" s="111" t="s">
        <v>432</v>
      </c>
      <c r="D696" s="111" t="s">
        <v>432</v>
      </c>
      <c r="E696" s="111" t="s">
        <v>126</v>
      </c>
      <c r="F696" s="120"/>
      <c r="G696" s="112">
        <f>G697</f>
        <v>14850</v>
      </c>
      <c r="H696" s="134">
        <f t="shared" si="348"/>
        <v>0</v>
      </c>
      <c r="I696" s="112">
        <f>I697</f>
        <v>14850</v>
      </c>
      <c r="J696" s="112">
        <f t="shared" si="349"/>
        <v>11256.455</v>
      </c>
      <c r="K696" s="112">
        <f>K697</f>
        <v>14850</v>
      </c>
      <c r="L696" s="112">
        <f t="shared" si="337"/>
        <v>100</v>
      </c>
    </row>
    <row r="697" spans="1:12" s="184" customFormat="1" ht="36">
      <c r="A697" s="124" t="s">
        <v>410</v>
      </c>
      <c r="B697" s="125" t="s">
        <v>423</v>
      </c>
      <c r="C697" s="125" t="s">
        <v>432</v>
      </c>
      <c r="D697" s="125" t="s">
        <v>432</v>
      </c>
      <c r="E697" s="125" t="s">
        <v>126</v>
      </c>
      <c r="F697" s="125"/>
      <c r="G697" s="126">
        <f>G698+G701</f>
        <v>14850</v>
      </c>
      <c r="H697" s="134">
        <f t="shared" si="348"/>
        <v>0</v>
      </c>
      <c r="I697" s="126">
        <f>I698+I701</f>
        <v>14850</v>
      </c>
      <c r="J697" s="126">
        <f t="shared" ref="J697" si="350">J698+J701</f>
        <v>11256.455</v>
      </c>
      <c r="K697" s="126">
        <f>K698+K701</f>
        <v>14850</v>
      </c>
      <c r="L697" s="126">
        <f t="shared" si="337"/>
        <v>100</v>
      </c>
    </row>
    <row r="698" spans="1:12" s="184" customFormat="1" ht="24">
      <c r="A698" s="127" t="s">
        <v>392</v>
      </c>
      <c r="B698" s="111" t="s">
        <v>423</v>
      </c>
      <c r="C698" s="111" t="s">
        <v>432</v>
      </c>
      <c r="D698" s="111" t="s">
        <v>432</v>
      </c>
      <c r="E698" s="111" t="s">
        <v>508</v>
      </c>
      <c r="F698" s="111"/>
      <c r="G698" s="112">
        <f>G699</f>
        <v>13650</v>
      </c>
      <c r="H698" s="134">
        <f t="shared" si="348"/>
        <v>0</v>
      </c>
      <c r="I698" s="112">
        <f>I699</f>
        <v>13650</v>
      </c>
      <c r="J698" s="112">
        <f t="shared" ref="J698:J699" si="351">J699</f>
        <v>10710.992</v>
      </c>
      <c r="K698" s="112">
        <f>K699</f>
        <v>13650</v>
      </c>
      <c r="L698" s="112">
        <f t="shared" si="337"/>
        <v>100</v>
      </c>
    </row>
    <row r="699" spans="1:12" s="184" customFormat="1" ht="36">
      <c r="A699" s="119" t="s">
        <v>79</v>
      </c>
      <c r="B699" s="120" t="s">
        <v>423</v>
      </c>
      <c r="C699" s="120" t="s">
        <v>432</v>
      </c>
      <c r="D699" s="120" t="s">
        <v>432</v>
      </c>
      <c r="E699" s="120" t="s">
        <v>508</v>
      </c>
      <c r="F699" s="120" t="s">
        <v>80</v>
      </c>
      <c r="G699" s="121">
        <f>G700</f>
        <v>13650</v>
      </c>
      <c r="H699" s="134">
        <f t="shared" si="348"/>
        <v>0</v>
      </c>
      <c r="I699" s="121">
        <f>I700</f>
        <v>13650</v>
      </c>
      <c r="J699" s="121">
        <f t="shared" si="351"/>
        <v>10710.992</v>
      </c>
      <c r="K699" s="121">
        <f>K700</f>
        <v>13650</v>
      </c>
      <c r="L699" s="121">
        <f t="shared" si="337"/>
        <v>100</v>
      </c>
    </row>
    <row r="700" spans="1:12" s="184" customFormat="1">
      <c r="A700" s="119" t="s">
        <v>81</v>
      </c>
      <c r="B700" s="120" t="s">
        <v>423</v>
      </c>
      <c r="C700" s="120" t="s">
        <v>432</v>
      </c>
      <c r="D700" s="120" t="s">
        <v>432</v>
      </c>
      <c r="E700" s="120" t="s">
        <v>508</v>
      </c>
      <c r="F700" s="120" t="s">
        <v>82</v>
      </c>
      <c r="G700" s="121">
        <f>10430+100+3120</f>
        <v>13650</v>
      </c>
      <c r="H700" s="134">
        <f t="shared" si="348"/>
        <v>0</v>
      </c>
      <c r="I700" s="121">
        <f>10430+100+3120</f>
        <v>13650</v>
      </c>
      <c r="J700" s="121">
        <v>10710.992</v>
      </c>
      <c r="K700" s="121">
        <f>10430+100+3120</f>
        <v>13650</v>
      </c>
      <c r="L700" s="121">
        <f t="shared" si="337"/>
        <v>100</v>
      </c>
    </row>
    <row r="701" spans="1:12" s="184" customFormat="1">
      <c r="A701" s="110" t="s">
        <v>83</v>
      </c>
      <c r="B701" s="111" t="s">
        <v>423</v>
      </c>
      <c r="C701" s="111" t="s">
        <v>432</v>
      </c>
      <c r="D701" s="111" t="s">
        <v>432</v>
      </c>
      <c r="E701" s="111" t="s">
        <v>509</v>
      </c>
      <c r="F701" s="111"/>
      <c r="G701" s="112">
        <f>G702+G704</f>
        <v>1200</v>
      </c>
      <c r="H701" s="134">
        <f t="shared" si="348"/>
        <v>0</v>
      </c>
      <c r="I701" s="112">
        <f>I702+I704</f>
        <v>1200</v>
      </c>
      <c r="J701" s="112">
        <f t="shared" ref="J701" si="352">J702+J704</f>
        <v>545.46299999999997</v>
      </c>
      <c r="K701" s="112">
        <f>K702+K704</f>
        <v>1200</v>
      </c>
      <c r="L701" s="112">
        <f t="shared" si="337"/>
        <v>100</v>
      </c>
    </row>
    <row r="702" spans="1:12" s="184" customFormat="1">
      <c r="A702" s="119" t="s">
        <v>301</v>
      </c>
      <c r="B702" s="120" t="s">
        <v>423</v>
      </c>
      <c r="C702" s="120" t="s">
        <v>432</v>
      </c>
      <c r="D702" s="120" t="s">
        <v>432</v>
      </c>
      <c r="E702" s="120" t="s">
        <v>509</v>
      </c>
      <c r="F702" s="120" t="s">
        <v>84</v>
      </c>
      <c r="G702" s="121">
        <f>G703</f>
        <v>1170</v>
      </c>
      <c r="H702" s="134">
        <f t="shared" si="348"/>
        <v>0</v>
      </c>
      <c r="I702" s="121">
        <f>I703</f>
        <v>1170</v>
      </c>
      <c r="J702" s="121">
        <f t="shared" ref="J702" si="353">J703</f>
        <v>544.62900000000002</v>
      </c>
      <c r="K702" s="121">
        <f>K703</f>
        <v>1170</v>
      </c>
      <c r="L702" s="121">
        <f t="shared" si="337"/>
        <v>100</v>
      </c>
    </row>
    <row r="703" spans="1:12" s="184" customFormat="1" ht="24">
      <c r="A703" s="119" t="s">
        <v>85</v>
      </c>
      <c r="B703" s="120" t="s">
        <v>423</v>
      </c>
      <c r="C703" s="120" t="s">
        <v>432</v>
      </c>
      <c r="D703" s="120" t="s">
        <v>432</v>
      </c>
      <c r="E703" s="120" t="s">
        <v>509</v>
      </c>
      <c r="F703" s="120" t="s">
        <v>86</v>
      </c>
      <c r="G703" s="121">
        <f>270+150+350+70+330</f>
        <v>1170</v>
      </c>
      <c r="H703" s="134">
        <f t="shared" si="348"/>
        <v>0</v>
      </c>
      <c r="I703" s="121">
        <f>270+150+350+70+330</f>
        <v>1170</v>
      </c>
      <c r="J703" s="121">
        <v>544.62900000000002</v>
      </c>
      <c r="K703" s="121">
        <f>270+150+350+70+330</f>
        <v>1170</v>
      </c>
      <c r="L703" s="121">
        <f t="shared" si="337"/>
        <v>100</v>
      </c>
    </row>
    <row r="704" spans="1:12" s="184" customFormat="1">
      <c r="A704" s="119" t="s">
        <v>87</v>
      </c>
      <c r="B704" s="120" t="s">
        <v>423</v>
      </c>
      <c r="C704" s="120" t="s">
        <v>432</v>
      </c>
      <c r="D704" s="120" t="s">
        <v>432</v>
      </c>
      <c r="E704" s="120" t="s">
        <v>509</v>
      </c>
      <c r="F704" s="120" t="s">
        <v>88</v>
      </c>
      <c r="G704" s="121">
        <f>G705</f>
        <v>30</v>
      </c>
      <c r="H704" s="134">
        <f t="shared" si="348"/>
        <v>0</v>
      </c>
      <c r="I704" s="121">
        <f>I705</f>
        <v>30</v>
      </c>
      <c r="J704" s="121">
        <f t="shared" ref="J704" si="354">J705</f>
        <v>0.83399999999999996</v>
      </c>
      <c r="K704" s="121">
        <f>K705</f>
        <v>30</v>
      </c>
      <c r="L704" s="121">
        <f t="shared" si="337"/>
        <v>100</v>
      </c>
    </row>
    <row r="705" spans="1:12" s="184" customFormat="1">
      <c r="A705" s="119" t="s">
        <v>514</v>
      </c>
      <c r="B705" s="120" t="s">
        <v>423</v>
      </c>
      <c r="C705" s="120" t="s">
        <v>432</v>
      </c>
      <c r="D705" s="120" t="s">
        <v>432</v>
      </c>
      <c r="E705" s="120" t="s">
        <v>509</v>
      </c>
      <c r="F705" s="120" t="s">
        <v>89</v>
      </c>
      <c r="G705" s="121">
        <v>30</v>
      </c>
      <c r="H705" s="134">
        <f t="shared" si="348"/>
        <v>0</v>
      </c>
      <c r="I705" s="121">
        <v>30</v>
      </c>
      <c r="J705" s="121">
        <v>0.83399999999999996</v>
      </c>
      <c r="K705" s="121">
        <v>30</v>
      </c>
      <c r="L705" s="121">
        <f t="shared" si="337"/>
        <v>100</v>
      </c>
    </row>
    <row r="706" spans="1:12" s="184" customFormat="1" ht="24">
      <c r="A706" s="141" t="s">
        <v>61</v>
      </c>
      <c r="B706" s="111" t="s">
        <v>423</v>
      </c>
      <c r="C706" s="111" t="s">
        <v>432</v>
      </c>
      <c r="D706" s="111" t="s">
        <v>432</v>
      </c>
      <c r="E706" s="142" t="s">
        <v>670</v>
      </c>
      <c r="F706" s="111"/>
      <c r="G706" s="112">
        <f>G707</f>
        <v>6928.2</v>
      </c>
      <c r="H706" s="134">
        <f t="shared" si="348"/>
        <v>2578.8030000000008</v>
      </c>
      <c r="I706" s="112">
        <f>I707</f>
        <v>9507.0030000000006</v>
      </c>
      <c r="J706" s="112">
        <f t="shared" ref="J706" si="355">J707</f>
        <v>6436.0709999999999</v>
      </c>
      <c r="K706" s="112">
        <f>K707</f>
        <v>9507.0030000000006</v>
      </c>
      <c r="L706" s="112">
        <f t="shared" si="337"/>
        <v>100</v>
      </c>
    </row>
    <row r="707" spans="1:12" s="184" customFormat="1" ht="24">
      <c r="A707" s="143" t="s">
        <v>485</v>
      </c>
      <c r="B707" s="139" t="s">
        <v>423</v>
      </c>
      <c r="C707" s="139" t="s">
        <v>432</v>
      </c>
      <c r="D707" s="139" t="s">
        <v>432</v>
      </c>
      <c r="E707" s="139" t="s">
        <v>670</v>
      </c>
      <c r="F707" s="139"/>
      <c r="G707" s="144">
        <f>G708+G710+G712</f>
        <v>6928.2</v>
      </c>
      <c r="H707" s="134">
        <f t="shared" si="348"/>
        <v>2578.8030000000008</v>
      </c>
      <c r="I707" s="144">
        <f>I708+I710+I712</f>
        <v>9507.0030000000006</v>
      </c>
      <c r="J707" s="144">
        <f t="shared" ref="J707" si="356">J708+J710+J712</f>
        <v>6436.0709999999999</v>
      </c>
      <c r="K707" s="144">
        <f>K708+K710+K712</f>
        <v>9507.0030000000006</v>
      </c>
      <c r="L707" s="144">
        <f t="shared" si="337"/>
        <v>100</v>
      </c>
    </row>
    <row r="708" spans="1:12" s="184" customFormat="1" ht="36">
      <c r="A708" s="119" t="s">
        <v>79</v>
      </c>
      <c r="B708" s="120" t="s">
        <v>423</v>
      </c>
      <c r="C708" s="120" t="s">
        <v>432</v>
      </c>
      <c r="D708" s="120" t="s">
        <v>432</v>
      </c>
      <c r="E708" s="120" t="s">
        <v>670</v>
      </c>
      <c r="F708" s="120" t="s">
        <v>80</v>
      </c>
      <c r="G708" s="121">
        <f>G709</f>
        <v>5126</v>
      </c>
      <c r="H708" s="134">
        <f t="shared" si="348"/>
        <v>1500.4064500000004</v>
      </c>
      <c r="I708" s="121">
        <f>I709</f>
        <v>6626.4064500000004</v>
      </c>
      <c r="J708" s="121">
        <f t="shared" ref="J708" si="357">J709</f>
        <v>4609.1909999999998</v>
      </c>
      <c r="K708" s="121">
        <f>K709</f>
        <v>6626.4064500000004</v>
      </c>
      <c r="L708" s="121">
        <f t="shared" si="337"/>
        <v>100</v>
      </c>
    </row>
    <row r="709" spans="1:12" s="184" customFormat="1">
      <c r="A709" s="119" t="s">
        <v>486</v>
      </c>
      <c r="B709" s="120" t="s">
        <v>423</v>
      </c>
      <c r="C709" s="120" t="s">
        <v>432</v>
      </c>
      <c r="D709" s="120" t="s">
        <v>432</v>
      </c>
      <c r="E709" s="120" t="s">
        <v>670</v>
      </c>
      <c r="F709" s="120" t="s">
        <v>487</v>
      </c>
      <c r="G709" s="121">
        <f>2816+850+1120+340</f>
        <v>5126</v>
      </c>
      <c r="H709" s="134">
        <f t="shared" si="348"/>
        <v>1500.4064500000004</v>
      </c>
      <c r="I709" s="121">
        <f>2816+850+1120+340+1500.40645</f>
        <v>6626.4064500000004</v>
      </c>
      <c r="J709" s="121">
        <v>4609.1909999999998</v>
      </c>
      <c r="K709" s="121">
        <f>2816+850+1120+340+1500.40645</f>
        <v>6626.4064500000004</v>
      </c>
      <c r="L709" s="121">
        <f t="shared" si="337"/>
        <v>100</v>
      </c>
    </row>
    <row r="710" spans="1:12" s="184" customFormat="1">
      <c r="A710" s="119" t="s">
        <v>301</v>
      </c>
      <c r="B710" s="120" t="s">
        <v>423</v>
      </c>
      <c r="C710" s="120" t="s">
        <v>432</v>
      </c>
      <c r="D710" s="120" t="s">
        <v>432</v>
      </c>
      <c r="E710" s="120" t="s">
        <v>670</v>
      </c>
      <c r="F710" s="120" t="s">
        <v>84</v>
      </c>
      <c r="G710" s="121">
        <f>G711</f>
        <v>1273.2</v>
      </c>
      <c r="H710" s="134">
        <f t="shared" si="348"/>
        <v>700.09655000000021</v>
      </c>
      <c r="I710" s="121">
        <f>I711</f>
        <v>1973.2965500000003</v>
      </c>
      <c r="J710" s="121">
        <f t="shared" ref="J710" si="358">J711</f>
        <v>1017.119</v>
      </c>
      <c r="K710" s="121">
        <f>K711</f>
        <v>1973.2965500000003</v>
      </c>
      <c r="L710" s="121">
        <f t="shared" si="337"/>
        <v>100</v>
      </c>
    </row>
    <row r="711" spans="1:12" s="184" customFormat="1" ht="24">
      <c r="A711" s="119" t="s">
        <v>85</v>
      </c>
      <c r="B711" s="120" t="s">
        <v>423</v>
      </c>
      <c r="C711" s="120" t="s">
        <v>432</v>
      </c>
      <c r="D711" s="120" t="s">
        <v>432</v>
      </c>
      <c r="E711" s="120" t="s">
        <v>670</v>
      </c>
      <c r="F711" s="120" t="s">
        <v>86</v>
      </c>
      <c r="G711" s="121">
        <f>78.7+69+120+194.5+20+3+80+30+30+648</f>
        <v>1273.2</v>
      </c>
      <c r="H711" s="134">
        <f t="shared" si="348"/>
        <v>700.09655000000021</v>
      </c>
      <c r="I711" s="121">
        <f>78.7+69+120+194.5+20+3+80+30+30+648+708.39655-8.3</f>
        <v>1973.2965500000003</v>
      </c>
      <c r="J711" s="121">
        <v>1017.119</v>
      </c>
      <c r="K711" s="121">
        <f>78.7+69+120+194.5+20+3+80+30+30+648+708.39655-8.3</f>
        <v>1973.2965500000003</v>
      </c>
      <c r="L711" s="121">
        <f t="shared" si="337"/>
        <v>100</v>
      </c>
    </row>
    <row r="712" spans="1:12" s="184" customFormat="1">
      <c r="A712" s="119" t="s">
        <v>87</v>
      </c>
      <c r="B712" s="120" t="s">
        <v>423</v>
      </c>
      <c r="C712" s="120" t="s">
        <v>432</v>
      </c>
      <c r="D712" s="120" t="s">
        <v>432</v>
      </c>
      <c r="E712" s="120" t="s">
        <v>670</v>
      </c>
      <c r="F712" s="120" t="s">
        <v>88</v>
      </c>
      <c r="G712" s="121">
        <f>G713</f>
        <v>529</v>
      </c>
      <c r="H712" s="134">
        <f t="shared" si="348"/>
        <v>378.29999999999995</v>
      </c>
      <c r="I712" s="121">
        <f>I713</f>
        <v>907.3</v>
      </c>
      <c r="J712" s="121">
        <f t="shared" ref="J712" si="359">J713</f>
        <v>809.76099999999997</v>
      </c>
      <c r="K712" s="121">
        <f>K713</f>
        <v>907.3</v>
      </c>
      <c r="L712" s="121">
        <f t="shared" si="337"/>
        <v>100</v>
      </c>
    </row>
    <row r="713" spans="1:12" s="184" customFormat="1">
      <c r="A713" s="119" t="s">
        <v>514</v>
      </c>
      <c r="B713" s="120" t="s">
        <v>423</v>
      </c>
      <c r="C713" s="120" t="s">
        <v>432</v>
      </c>
      <c r="D713" s="120" t="s">
        <v>432</v>
      </c>
      <c r="E713" s="120" t="s">
        <v>670</v>
      </c>
      <c r="F713" s="120" t="s">
        <v>89</v>
      </c>
      <c r="G713" s="121">
        <f>520+9</f>
        <v>529</v>
      </c>
      <c r="H713" s="134">
        <f t="shared" si="348"/>
        <v>378.29999999999995</v>
      </c>
      <c r="I713" s="121">
        <f>520+9+8.3+370</f>
        <v>907.3</v>
      </c>
      <c r="J713" s="121">
        <v>809.76099999999997</v>
      </c>
      <c r="K713" s="121">
        <f>520+9+8.3+370</f>
        <v>907.3</v>
      </c>
      <c r="L713" s="121">
        <f t="shared" si="337"/>
        <v>100</v>
      </c>
    </row>
    <row r="714" spans="1:12" s="184" customFormat="1" ht="31.5">
      <c r="A714" s="113" t="s">
        <v>424</v>
      </c>
      <c r="B714" s="116" t="s">
        <v>425</v>
      </c>
      <c r="C714" s="117"/>
      <c r="D714" s="117"/>
      <c r="E714" s="116"/>
      <c r="F714" s="116"/>
      <c r="G714" s="118">
        <f>G715+G734</f>
        <v>132579.6</v>
      </c>
      <c r="H714" s="134">
        <f t="shared" si="348"/>
        <v>-2359.3999999999942</v>
      </c>
      <c r="I714" s="118">
        <f>I715+I734</f>
        <v>130220.20000000001</v>
      </c>
      <c r="J714" s="118">
        <f t="shared" ref="J714" si="360">J715+J734</f>
        <v>61156.173000000003</v>
      </c>
      <c r="K714" s="118">
        <f>K715+K734</f>
        <v>84894.061000000002</v>
      </c>
      <c r="L714" s="118">
        <f>K714/I714*100</f>
        <v>65.192697446325525</v>
      </c>
    </row>
    <row r="715" spans="1:12" s="184" customFormat="1">
      <c r="A715" s="110" t="s">
        <v>114</v>
      </c>
      <c r="B715" s="111" t="s">
        <v>425</v>
      </c>
      <c r="C715" s="111" t="s">
        <v>76</v>
      </c>
      <c r="D715" s="111" t="s">
        <v>77</v>
      </c>
      <c r="E715" s="111"/>
      <c r="F715" s="111"/>
      <c r="G715" s="112">
        <f>G716+G729</f>
        <v>17579.599999999999</v>
      </c>
      <c r="H715" s="134">
        <f t="shared" si="348"/>
        <v>-500</v>
      </c>
      <c r="I715" s="112">
        <f>I716+I729</f>
        <v>17079.599999999999</v>
      </c>
      <c r="J715" s="112">
        <f t="shared" ref="J715" si="361">J716+J729</f>
        <v>11948.832</v>
      </c>
      <c r="K715" s="112">
        <f>K716+K729</f>
        <v>16753.460999999999</v>
      </c>
      <c r="L715" s="112">
        <f>K715/I715*100</f>
        <v>98.090476357760139</v>
      </c>
    </row>
    <row r="716" spans="1:12" s="184" customFormat="1" ht="24">
      <c r="A716" s="110" t="s">
        <v>315</v>
      </c>
      <c r="B716" s="111" t="s">
        <v>425</v>
      </c>
      <c r="C716" s="111" t="s">
        <v>76</v>
      </c>
      <c r="D716" s="111" t="s">
        <v>302</v>
      </c>
      <c r="E716" s="111"/>
      <c r="F716" s="111"/>
      <c r="G716" s="112">
        <f>G717</f>
        <v>16579.599999999999</v>
      </c>
      <c r="H716" s="134">
        <f t="shared" si="348"/>
        <v>0</v>
      </c>
      <c r="I716" s="112">
        <f>I717</f>
        <v>16579.599999999999</v>
      </c>
      <c r="J716" s="112">
        <f t="shared" ref="J716:J717" si="362">J717</f>
        <v>11948.832</v>
      </c>
      <c r="K716" s="112">
        <f>K717</f>
        <v>16579.599999999999</v>
      </c>
      <c r="L716" s="112">
        <f t="shared" ref="L716:L739" si="363">K716/I716*100</f>
        <v>100</v>
      </c>
    </row>
    <row r="717" spans="1:12" s="184" customFormat="1" ht="24">
      <c r="A717" s="145" t="s">
        <v>326</v>
      </c>
      <c r="B717" s="125" t="s">
        <v>425</v>
      </c>
      <c r="C717" s="125" t="s">
        <v>76</v>
      </c>
      <c r="D717" s="125" t="s">
        <v>302</v>
      </c>
      <c r="E717" s="125" t="s">
        <v>214</v>
      </c>
      <c r="F717" s="166"/>
      <c r="G717" s="167">
        <f>G718</f>
        <v>16579.599999999999</v>
      </c>
      <c r="H717" s="134">
        <f t="shared" si="348"/>
        <v>0</v>
      </c>
      <c r="I717" s="167">
        <f>I718</f>
        <v>16579.599999999999</v>
      </c>
      <c r="J717" s="167">
        <f t="shared" si="362"/>
        <v>11948.832</v>
      </c>
      <c r="K717" s="167">
        <f>K718</f>
        <v>16579.599999999999</v>
      </c>
      <c r="L717" s="112">
        <f t="shared" si="363"/>
        <v>100</v>
      </c>
    </row>
    <row r="718" spans="1:12" s="184" customFormat="1" ht="13.5">
      <c r="A718" s="127" t="s">
        <v>304</v>
      </c>
      <c r="B718" s="111" t="s">
        <v>425</v>
      </c>
      <c r="C718" s="111" t="s">
        <v>76</v>
      </c>
      <c r="D718" s="111" t="s">
        <v>302</v>
      </c>
      <c r="E718" s="111" t="s">
        <v>215</v>
      </c>
      <c r="F718" s="168"/>
      <c r="G718" s="115">
        <f>G719+G724</f>
        <v>16579.599999999999</v>
      </c>
      <c r="H718" s="134">
        <f t="shared" si="348"/>
        <v>0</v>
      </c>
      <c r="I718" s="115">
        <f>I719+I724</f>
        <v>16579.599999999999</v>
      </c>
      <c r="J718" s="115">
        <f t="shared" ref="J718" si="364">J719+J724</f>
        <v>11948.832</v>
      </c>
      <c r="K718" s="115">
        <f>K719+K724</f>
        <v>16579.599999999999</v>
      </c>
      <c r="L718" s="126">
        <f t="shared" si="363"/>
        <v>100</v>
      </c>
    </row>
    <row r="719" spans="1:12" s="184" customFormat="1" ht="24">
      <c r="A719" s="127" t="s">
        <v>324</v>
      </c>
      <c r="B719" s="111" t="s">
        <v>425</v>
      </c>
      <c r="C719" s="111" t="s">
        <v>76</v>
      </c>
      <c r="D719" s="111" t="s">
        <v>302</v>
      </c>
      <c r="E719" s="111" t="s">
        <v>216</v>
      </c>
      <c r="F719" s="166"/>
      <c r="G719" s="167">
        <f>G720+G722</f>
        <v>13720</v>
      </c>
      <c r="H719" s="134">
        <f t="shared" si="348"/>
        <v>0</v>
      </c>
      <c r="I719" s="167">
        <f>I720+I722</f>
        <v>13720</v>
      </c>
      <c r="J719" s="167">
        <f t="shared" ref="J719" si="365">J720+J722</f>
        <v>9976.5450000000001</v>
      </c>
      <c r="K719" s="167">
        <f>K720+K722</f>
        <v>13720</v>
      </c>
      <c r="L719" s="112">
        <f t="shared" si="363"/>
        <v>100</v>
      </c>
    </row>
    <row r="720" spans="1:12" s="184" customFormat="1" ht="36">
      <c r="A720" s="119" t="s">
        <v>79</v>
      </c>
      <c r="B720" s="120" t="s">
        <v>425</v>
      </c>
      <c r="C720" s="120" t="s">
        <v>76</v>
      </c>
      <c r="D720" s="120" t="s">
        <v>302</v>
      </c>
      <c r="E720" s="120" t="s">
        <v>216</v>
      </c>
      <c r="F720" s="120" t="s">
        <v>80</v>
      </c>
      <c r="G720" s="121">
        <f>G721</f>
        <v>13670</v>
      </c>
      <c r="H720" s="134">
        <f t="shared" si="348"/>
        <v>-3.8144599999995989</v>
      </c>
      <c r="I720" s="121">
        <f>I721</f>
        <v>13666.18554</v>
      </c>
      <c r="J720" s="121">
        <f t="shared" ref="J720" si="366">J721</f>
        <v>9922.7309999999998</v>
      </c>
      <c r="K720" s="121">
        <f>K721</f>
        <v>13666.18554</v>
      </c>
      <c r="L720" s="121">
        <f t="shared" si="363"/>
        <v>100</v>
      </c>
    </row>
    <row r="721" spans="1:12" s="184" customFormat="1">
      <c r="A721" s="119" t="s">
        <v>81</v>
      </c>
      <c r="B721" s="120" t="s">
        <v>425</v>
      </c>
      <c r="C721" s="120" t="s">
        <v>76</v>
      </c>
      <c r="D721" s="120" t="s">
        <v>302</v>
      </c>
      <c r="E721" s="120" t="s">
        <v>216</v>
      </c>
      <c r="F721" s="120" t="s">
        <v>82</v>
      </c>
      <c r="G721" s="121">
        <f>13720-50</f>
        <v>13670</v>
      </c>
      <c r="H721" s="134">
        <f t="shared" si="348"/>
        <v>-3.8144599999995989</v>
      </c>
      <c r="I721" s="121">
        <f>13720-50-3.81446</f>
        <v>13666.18554</v>
      </c>
      <c r="J721" s="121">
        <v>9922.7309999999998</v>
      </c>
      <c r="K721" s="121">
        <f>13720-50-3.81446</f>
        <v>13666.18554</v>
      </c>
      <c r="L721" s="121">
        <f t="shared" si="363"/>
        <v>100</v>
      </c>
    </row>
    <row r="722" spans="1:12" s="184" customFormat="1">
      <c r="A722" s="119" t="s">
        <v>95</v>
      </c>
      <c r="B722" s="120" t="s">
        <v>425</v>
      </c>
      <c r="C722" s="120" t="s">
        <v>76</v>
      </c>
      <c r="D722" s="120" t="s">
        <v>302</v>
      </c>
      <c r="E722" s="120" t="s">
        <v>216</v>
      </c>
      <c r="F722" s="120" t="s">
        <v>94</v>
      </c>
      <c r="G722" s="121">
        <f>G723</f>
        <v>50</v>
      </c>
      <c r="H722" s="134">
        <f t="shared" si="348"/>
        <v>3.8144599999999969</v>
      </c>
      <c r="I722" s="121">
        <f>I723</f>
        <v>53.814459999999997</v>
      </c>
      <c r="J722" s="121">
        <f t="shared" ref="J722" si="367">J723</f>
        <v>53.814</v>
      </c>
      <c r="K722" s="121">
        <f>K723</f>
        <v>53.814459999999997</v>
      </c>
      <c r="L722" s="121">
        <f t="shared" si="363"/>
        <v>100</v>
      </c>
    </row>
    <row r="723" spans="1:12" s="184" customFormat="1" ht="24">
      <c r="A723" s="119" t="s">
        <v>96</v>
      </c>
      <c r="B723" s="120" t="s">
        <v>425</v>
      </c>
      <c r="C723" s="120" t="s">
        <v>76</v>
      </c>
      <c r="D723" s="120" t="s">
        <v>302</v>
      </c>
      <c r="E723" s="120" t="s">
        <v>216</v>
      </c>
      <c r="F723" s="120" t="s">
        <v>97</v>
      </c>
      <c r="G723" s="121">
        <v>50</v>
      </c>
      <c r="H723" s="134">
        <f t="shared" si="348"/>
        <v>3.8144599999999969</v>
      </c>
      <c r="I723" s="121">
        <f>50+3.81446</f>
        <v>53.814459999999997</v>
      </c>
      <c r="J723" s="121">
        <v>53.814</v>
      </c>
      <c r="K723" s="121">
        <f>50+3.81446</f>
        <v>53.814459999999997</v>
      </c>
      <c r="L723" s="121">
        <f t="shared" si="363"/>
        <v>100</v>
      </c>
    </row>
    <row r="724" spans="1:12" s="184" customFormat="1" ht="24">
      <c r="A724" s="110" t="s">
        <v>325</v>
      </c>
      <c r="B724" s="111" t="s">
        <v>425</v>
      </c>
      <c r="C724" s="111" t="s">
        <v>76</v>
      </c>
      <c r="D724" s="111" t="s">
        <v>302</v>
      </c>
      <c r="E724" s="111" t="s">
        <v>217</v>
      </c>
      <c r="F724" s="111"/>
      <c r="G724" s="112">
        <f>G725+G727</f>
        <v>2859.6</v>
      </c>
      <c r="H724" s="134">
        <f t="shared" si="348"/>
        <v>0</v>
      </c>
      <c r="I724" s="112">
        <f>I725+I727</f>
        <v>2859.6</v>
      </c>
      <c r="J724" s="112">
        <f t="shared" ref="J724" si="368">J725+J727</f>
        <v>1972.287</v>
      </c>
      <c r="K724" s="112">
        <f>K725+K727</f>
        <v>2859.6</v>
      </c>
      <c r="L724" s="112">
        <f t="shared" si="363"/>
        <v>100</v>
      </c>
    </row>
    <row r="725" spans="1:12" s="184" customFormat="1">
      <c r="A725" s="119" t="s">
        <v>301</v>
      </c>
      <c r="B725" s="120" t="s">
        <v>425</v>
      </c>
      <c r="C725" s="120" t="s">
        <v>76</v>
      </c>
      <c r="D725" s="120" t="s">
        <v>302</v>
      </c>
      <c r="E725" s="120" t="s">
        <v>217</v>
      </c>
      <c r="F725" s="120" t="s">
        <v>84</v>
      </c>
      <c r="G725" s="121">
        <f>G726</f>
        <v>2854.6</v>
      </c>
      <c r="H725" s="134">
        <f t="shared" si="348"/>
        <v>0</v>
      </c>
      <c r="I725" s="121">
        <f>I726</f>
        <v>2854.6</v>
      </c>
      <c r="J725" s="121">
        <f t="shared" ref="J725" si="369">J726</f>
        <v>1972.287</v>
      </c>
      <c r="K725" s="121">
        <f>K726</f>
        <v>2854.6</v>
      </c>
      <c r="L725" s="121">
        <f t="shared" si="363"/>
        <v>100</v>
      </c>
    </row>
    <row r="726" spans="1:12" s="184" customFormat="1" ht="24">
      <c r="A726" s="119" t="s">
        <v>85</v>
      </c>
      <c r="B726" s="120" t="s">
        <v>425</v>
      </c>
      <c r="C726" s="120" t="s">
        <v>76</v>
      </c>
      <c r="D726" s="120" t="s">
        <v>302</v>
      </c>
      <c r="E726" s="120" t="s">
        <v>217</v>
      </c>
      <c r="F726" s="120" t="s">
        <v>86</v>
      </c>
      <c r="G726" s="121">
        <v>2854.6</v>
      </c>
      <c r="H726" s="134">
        <f t="shared" si="348"/>
        <v>0</v>
      </c>
      <c r="I726" s="121">
        <v>2854.6</v>
      </c>
      <c r="J726" s="121">
        <v>1972.287</v>
      </c>
      <c r="K726" s="121">
        <v>2854.6</v>
      </c>
      <c r="L726" s="121">
        <f t="shared" si="363"/>
        <v>100</v>
      </c>
    </row>
    <row r="727" spans="1:12" s="184" customFormat="1">
      <c r="A727" s="119" t="s">
        <v>87</v>
      </c>
      <c r="B727" s="120" t="s">
        <v>425</v>
      </c>
      <c r="C727" s="120" t="s">
        <v>76</v>
      </c>
      <c r="D727" s="120" t="s">
        <v>302</v>
      </c>
      <c r="E727" s="120" t="s">
        <v>217</v>
      </c>
      <c r="F727" s="120" t="s">
        <v>88</v>
      </c>
      <c r="G727" s="121">
        <f>G728</f>
        <v>5</v>
      </c>
      <c r="H727" s="134">
        <f t="shared" si="348"/>
        <v>0</v>
      </c>
      <c r="I727" s="121">
        <f>I728</f>
        <v>5</v>
      </c>
      <c r="J727" s="229">
        <f t="shared" ref="J727" si="370">J728</f>
        <v>0</v>
      </c>
      <c r="K727" s="121">
        <f>K728</f>
        <v>5</v>
      </c>
      <c r="L727" s="121">
        <f t="shared" si="363"/>
        <v>100</v>
      </c>
    </row>
    <row r="728" spans="1:12" s="184" customFormat="1">
      <c r="A728" s="119" t="s">
        <v>514</v>
      </c>
      <c r="B728" s="120" t="s">
        <v>425</v>
      </c>
      <c r="C728" s="120" t="s">
        <v>76</v>
      </c>
      <c r="D728" s="120" t="s">
        <v>302</v>
      </c>
      <c r="E728" s="120" t="s">
        <v>217</v>
      </c>
      <c r="F728" s="120" t="s">
        <v>89</v>
      </c>
      <c r="G728" s="121">
        <v>5</v>
      </c>
      <c r="H728" s="134">
        <f t="shared" si="348"/>
        <v>0</v>
      </c>
      <c r="I728" s="121">
        <v>5</v>
      </c>
      <c r="J728" s="229">
        <v>0</v>
      </c>
      <c r="K728" s="121">
        <v>5</v>
      </c>
      <c r="L728" s="121">
        <f t="shared" si="363"/>
        <v>100</v>
      </c>
    </row>
    <row r="729" spans="1:12" s="184" customFormat="1">
      <c r="A729" s="110" t="s">
        <v>318</v>
      </c>
      <c r="B729" s="111" t="s">
        <v>425</v>
      </c>
      <c r="C729" s="111" t="s">
        <v>76</v>
      </c>
      <c r="D729" s="111" t="s">
        <v>93</v>
      </c>
      <c r="E729" s="111"/>
      <c r="F729" s="111"/>
      <c r="G729" s="112">
        <f>G730</f>
        <v>1000</v>
      </c>
      <c r="H729" s="134">
        <f t="shared" si="348"/>
        <v>-500</v>
      </c>
      <c r="I729" s="112">
        <f>I730</f>
        <v>500</v>
      </c>
      <c r="J729" s="134">
        <f t="shared" ref="J729:J732" si="371">J730</f>
        <v>0</v>
      </c>
      <c r="K729" s="112">
        <f>K730</f>
        <v>173.86099999999999</v>
      </c>
      <c r="L729" s="112">
        <f t="shared" si="363"/>
        <v>34.772199999999998</v>
      </c>
    </row>
    <row r="730" spans="1:12" s="184" customFormat="1">
      <c r="A730" s="110" t="s">
        <v>304</v>
      </c>
      <c r="B730" s="111" t="s">
        <v>425</v>
      </c>
      <c r="C730" s="111" t="s">
        <v>76</v>
      </c>
      <c r="D730" s="111" t="s">
        <v>93</v>
      </c>
      <c r="E730" s="142" t="s">
        <v>215</v>
      </c>
      <c r="F730" s="111"/>
      <c r="G730" s="112">
        <f>G731</f>
        <v>1000</v>
      </c>
      <c r="H730" s="134">
        <f t="shared" si="348"/>
        <v>-500</v>
      </c>
      <c r="I730" s="112">
        <f>I731</f>
        <v>500</v>
      </c>
      <c r="J730" s="134">
        <f t="shared" si="371"/>
        <v>0</v>
      </c>
      <c r="K730" s="112">
        <f>K731</f>
        <v>173.86099999999999</v>
      </c>
      <c r="L730" s="112">
        <f t="shared" si="363"/>
        <v>34.772199999999998</v>
      </c>
    </row>
    <row r="731" spans="1:12" s="184" customFormat="1">
      <c r="A731" s="124" t="s">
        <v>319</v>
      </c>
      <c r="B731" s="125" t="s">
        <v>425</v>
      </c>
      <c r="C731" s="125" t="s">
        <v>76</v>
      </c>
      <c r="D731" s="125" t="s">
        <v>93</v>
      </c>
      <c r="E731" s="129" t="s">
        <v>344</v>
      </c>
      <c r="F731" s="125"/>
      <c r="G731" s="126">
        <f>G732</f>
        <v>1000</v>
      </c>
      <c r="H731" s="134">
        <f t="shared" si="348"/>
        <v>-500</v>
      </c>
      <c r="I731" s="126">
        <f>I732</f>
        <v>500</v>
      </c>
      <c r="J731" s="136">
        <f t="shared" si="371"/>
        <v>0</v>
      </c>
      <c r="K731" s="126">
        <f>K732</f>
        <v>173.86099999999999</v>
      </c>
      <c r="L731" s="126">
        <f t="shared" si="363"/>
        <v>34.772199999999998</v>
      </c>
    </row>
    <row r="732" spans="1:12" s="184" customFormat="1">
      <c r="A732" s="119" t="s">
        <v>87</v>
      </c>
      <c r="B732" s="120" t="s">
        <v>425</v>
      </c>
      <c r="C732" s="120" t="s">
        <v>76</v>
      </c>
      <c r="D732" s="120" t="s">
        <v>93</v>
      </c>
      <c r="E732" s="130" t="s">
        <v>344</v>
      </c>
      <c r="F732" s="120" t="s">
        <v>88</v>
      </c>
      <c r="G732" s="121">
        <f>G733</f>
        <v>1000</v>
      </c>
      <c r="H732" s="134">
        <f t="shared" si="348"/>
        <v>-500</v>
      </c>
      <c r="I732" s="121">
        <f>I733</f>
        <v>500</v>
      </c>
      <c r="J732" s="229">
        <f t="shared" si="371"/>
        <v>0</v>
      </c>
      <c r="K732" s="121">
        <f>K733</f>
        <v>173.86099999999999</v>
      </c>
      <c r="L732" s="121">
        <f t="shared" si="363"/>
        <v>34.772199999999998</v>
      </c>
    </row>
    <row r="733" spans="1:12" s="184" customFormat="1">
      <c r="A733" s="119" t="s">
        <v>150</v>
      </c>
      <c r="B733" s="120" t="s">
        <v>425</v>
      </c>
      <c r="C733" s="120" t="s">
        <v>76</v>
      </c>
      <c r="D733" s="120" t="s">
        <v>93</v>
      </c>
      <c r="E733" s="130" t="s">
        <v>344</v>
      </c>
      <c r="F733" s="120" t="s">
        <v>154</v>
      </c>
      <c r="G733" s="121">
        <v>1000</v>
      </c>
      <c r="H733" s="134">
        <f t="shared" si="348"/>
        <v>-500</v>
      </c>
      <c r="I733" s="121">
        <f>1000-500</f>
        <v>500</v>
      </c>
      <c r="J733" s="229">
        <v>0</v>
      </c>
      <c r="K733" s="121">
        <f>1000-500-222.5-103.639</f>
        <v>173.86099999999999</v>
      </c>
      <c r="L733" s="121">
        <f t="shared" si="363"/>
        <v>34.772199999999998</v>
      </c>
    </row>
    <row r="734" spans="1:12" s="184" customFormat="1" ht="24">
      <c r="A734" s="110" t="s">
        <v>400</v>
      </c>
      <c r="B734" s="111" t="s">
        <v>425</v>
      </c>
      <c r="C734" s="111" t="s">
        <v>93</v>
      </c>
      <c r="D734" s="111" t="s">
        <v>77</v>
      </c>
      <c r="E734" s="111"/>
      <c r="F734" s="111"/>
      <c r="G734" s="112">
        <f>G735</f>
        <v>115000</v>
      </c>
      <c r="H734" s="134">
        <f t="shared" si="348"/>
        <v>-1859.3999999999942</v>
      </c>
      <c r="I734" s="112">
        <f>I735</f>
        <v>113140.6</v>
      </c>
      <c r="J734" s="112">
        <f t="shared" ref="J734:J738" si="372">J735</f>
        <v>49207.341</v>
      </c>
      <c r="K734" s="112">
        <f>K735</f>
        <v>68140.600000000006</v>
      </c>
      <c r="L734" s="112">
        <f t="shared" si="363"/>
        <v>60.226479265621712</v>
      </c>
    </row>
    <row r="735" spans="1:12" s="205" customFormat="1">
      <c r="A735" s="110" t="s">
        <v>304</v>
      </c>
      <c r="B735" s="111" t="s">
        <v>425</v>
      </c>
      <c r="C735" s="111" t="s">
        <v>93</v>
      </c>
      <c r="D735" s="111" t="s">
        <v>76</v>
      </c>
      <c r="E735" s="142" t="s">
        <v>215</v>
      </c>
      <c r="F735" s="111"/>
      <c r="G735" s="112">
        <f>G736</f>
        <v>115000</v>
      </c>
      <c r="H735" s="134">
        <f t="shared" si="348"/>
        <v>-1859.3999999999942</v>
      </c>
      <c r="I735" s="112">
        <f>I736</f>
        <v>113140.6</v>
      </c>
      <c r="J735" s="112">
        <f t="shared" si="372"/>
        <v>49207.341</v>
      </c>
      <c r="K735" s="112">
        <f>K736</f>
        <v>68140.600000000006</v>
      </c>
      <c r="L735" s="112">
        <f t="shared" si="363"/>
        <v>60.226479265621712</v>
      </c>
    </row>
    <row r="736" spans="1:12" s="184" customFormat="1" ht="15.75">
      <c r="A736" s="110" t="s">
        <v>428</v>
      </c>
      <c r="B736" s="111" t="s">
        <v>425</v>
      </c>
      <c r="C736" s="111" t="s">
        <v>93</v>
      </c>
      <c r="D736" s="111" t="s">
        <v>76</v>
      </c>
      <c r="E736" s="111" t="s">
        <v>676</v>
      </c>
      <c r="F736" s="117"/>
      <c r="G736" s="112">
        <f>G737</f>
        <v>115000</v>
      </c>
      <c r="H736" s="134">
        <f t="shared" si="348"/>
        <v>-1859.3999999999942</v>
      </c>
      <c r="I736" s="112">
        <f>I737</f>
        <v>113140.6</v>
      </c>
      <c r="J736" s="112">
        <f t="shared" si="372"/>
        <v>49207.341</v>
      </c>
      <c r="K736" s="112">
        <f>K737</f>
        <v>68140.600000000006</v>
      </c>
      <c r="L736" s="112">
        <f t="shared" si="363"/>
        <v>60.226479265621712</v>
      </c>
    </row>
    <row r="737" spans="1:13" s="184" customFormat="1">
      <c r="A737" s="143" t="s">
        <v>316</v>
      </c>
      <c r="B737" s="139" t="s">
        <v>425</v>
      </c>
      <c r="C737" s="139" t="s">
        <v>93</v>
      </c>
      <c r="D737" s="139" t="s">
        <v>76</v>
      </c>
      <c r="E737" s="160" t="s">
        <v>676</v>
      </c>
      <c r="F737" s="139"/>
      <c r="G737" s="144">
        <f>G738</f>
        <v>115000</v>
      </c>
      <c r="H737" s="134">
        <f t="shared" si="348"/>
        <v>-1859.3999999999942</v>
      </c>
      <c r="I737" s="144">
        <f>I738</f>
        <v>113140.6</v>
      </c>
      <c r="J737" s="144">
        <f t="shared" si="372"/>
        <v>49207.341</v>
      </c>
      <c r="K737" s="144">
        <f>K738</f>
        <v>68140.600000000006</v>
      </c>
      <c r="L737" s="144">
        <f t="shared" si="363"/>
        <v>60.226479265621712</v>
      </c>
    </row>
    <row r="738" spans="1:13" s="184" customFormat="1">
      <c r="A738" s="119" t="s">
        <v>305</v>
      </c>
      <c r="B738" s="120" t="s">
        <v>425</v>
      </c>
      <c r="C738" s="120" t="s">
        <v>93</v>
      </c>
      <c r="D738" s="120" t="s">
        <v>76</v>
      </c>
      <c r="E738" s="120" t="s">
        <v>676</v>
      </c>
      <c r="F738" s="120" t="s">
        <v>306</v>
      </c>
      <c r="G738" s="121">
        <f>G739</f>
        <v>115000</v>
      </c>
      <c r="H738" s="134">
        <f t="shared" si="348"/>
        <v>-1859.3999999999942</v>
      </c>
      <c r="I738" s="121">
        <f>I739</f>
        <v>113140.6</v>
      </c>
      <c r="J738" s="121">
        <f t="shared" si="372"/>
        <v>49207.341</v>
      </c>
      <c r="K738" s="121">
        <f>K739</f>
        <v>68140.600000000006</v>
      </c>
      <c r="L738" s="121">
        <f t="shared" si="363"/>
        <v>60.226479265621712</v>
      </c>
    </row>
    <row r="739" spans="1:13" s="184" customFormat="1">
      <c r="A739" s="119" t="s">
        <v>307</v>
      </c>
      <c r="B739" s="120" t="s">
        <v>425</v>
      </c>
      <c r="C739" s="120" t="s">
        <v>93</v>
      </c>
      <c r="D739" s="120" t="s">
        <v>76</v>
      </c>
      <c r="E739" s="120" t="s">
        <v>676</v>
      </c>
      <c r="F739" s="120" t="s">
        <v>414</v>
      </c>
      <c r="G739" s="121">
        <v>115000</v>
      </c>
      <c r="H739" s="134">
        <f t="shared" si="348"/>
        <v>-1859.3999999999942</v>
      </c>
      <c r="I739" s="121">
        <f>115000-1859.4</f>
        <v>113140.6</v>
      </c>
      <c r="J739" s="121">
        <v>49207.341</v>
      </c>
      <c r="K739" s="121">
        <f>115000-1859.4-30920.8+2777-16856.2</f>
        <v>68140.600000000006</v>
      </c>
      <c r="L739" s="121">
        <f t="shared" si="363"/>
        <v>60.226479265621712</v>
      </c>
      <c r="M739" s="255"/>
    </row>
    <row r="740" spans="1:13" s="184" customFormat="1" ht="31.5">
      <c r="A740" s="113" t="s">
        <v>71</v>
      </c>
      <c r="B740" s="116" t="s">
        <v>426</v>
      </c>
      <c r="C740" s="116"/>
      <c r="D740" s="116"/>
      <c r="E740" s="116"/>
      <c r="F740" s="116"/>
      <c r="G740" s="118" t="e">
        <f>G741+G759</f>
        <v>#REF!</v>
      </c>
      <c r="H740" s="134" t="e">
        <f t="shared" si="348"/>
        <v>#REF!</v>
      </c>
      <c r="I740" s="118">
        <f>I741+I759</f>
        <v>14954</v>
      </c>
      <c r="J740" s="118">
        <f t="shared" ref="J740" si="373">J741+J759</f>
        <v>10011.865999999998</v>
      </c>
      <c r="K740" s="118">
        <f>K741+K759</f>
        <v>14954</v>
      </c>
      <c r="L740" s="118">
        <f>K740/I740*100</f>
        <v>100</v>
      </c>
    </row>
    <row r="741" spans="1:13" s="184" customFormat="1">
      <c r="A741" s="110" t="s">
        <v>114</v>
      </c>
      <c r="B741" s="111" t="s">
        <v>426</v>
      </c>
      <c r="C741" s="111" t="s">
        <v>76</v>
      </c>
      <c r="D741" s="111" t="s">
        <v>77</v>
      </c>
      <c r="E741" s="111"/>
      <c r="F741" s="111"/>
      <c r="G741" s="112" t="e">
        <f>G742+G753</f>
        <v>#REF!</v>
      </c>
      <c r="H741" s="134" t="e">
        <f t="shared" si="348"/>
        <v>#REF!</v>
      </c>
      <c r="I741" s="112">
        <f>I742+I753</f>
        <v>13994</v>
      </c>
      <c r="J741" s="112">
        <f t="shared" ref="J741" si="374">J742+J753</f>
        <v>9915.7409999999982</v>
      </c>
      <c r="K741" s="112">
        <f>K742+K753</f>
        <v>13994</v>
      </c>
      <c r="L741" s="112">
        <f>K741/I741*100</f>
        <v>100</v>
      </c>
    </row>
    <row r="742" spans="1:13" s="184" customFormat="1" ht="36">
      <c r="A742" s="110" t="s">
        <v>312</v>
      </c>
      <c r="B742" s="111" t="s">
        <v>426</v>
      </c>
      <c r="C742" s="111" t="s">
        <v>76</v>
      </c>
      <c r="D742" s="111" t="s">
        <v>78</v>
      </c>
      <c r="E742" s="111"/>
      <c r="F742" s="111"/>
      <c r="G742" s="112">
        <f>G743</f>
        <v>12954</v>
      </c>
      <c r="H742" s="134">
        <f t="shared" si="348"/>
        <v>40</v>
      </c>
      <c r="I742" s="112">
        <f>I743</f>
        <v>12994</v>
      </c>
      <c r="J742" s="112">
        <f t="shared" ref="J742:J743" si="375">J743</f>
        <v>9563.8409999999985</v>
      </c>
      <c r="K742" s="112">
        <f>K743</f>
        <v>12994</v>
      </c>
      <c r="L742" s="112">
        <f t="shared" ref="L742:L765" si="376">K742/I742*100</f>
        <v>100</v>
      </c>
    </row>
    <row r="743" spans="1:13" s="184" customFormat="1">
      <c r="A743" s="145" t="s">
        <v>74</v>
      </c>
      <c r="B743" s="125" t="s">
        <v>426</v>
      </c>
      <c r="C743" s="125" t="s">
        <v>76</v>
      </c>
      <c r="D743" s="125" t="s">
        <v>78</v>
      </c>
      <c r="E743" s="125" t="s">
        <v>214</v>
      </c>
      <c r="F743" s="125"/>
      <c r="G743" s="126">
        <f>G744</f>
        <v>12954</v>
      </c>
      <c r="H743" s="134">
        <f t="shared" si="348"/>
        <v>40</v>
      </c>
      <c r="I743" s="126">
        <f>I744</f>
        <v>12994</v>
      </c>
      <c r="J743" s="126">
        <f t="shared" si="375"/>
        <v>9563.8409999999985</v>
      </c>
      <c r="K743" s="126">
        <f>K744</f>
        <v>12994</v>
      </c>
      <c r="L743" s="126">
        <f t="shared" si="376"/>
        <v>100</v>
      </c>
    </row>
    <row r="744" spans="1:13" s="184" customFormat="1">
      <c r="A744" s="127" t="s">
        <v>304</v>
      </c>
      <c r="B744" s="111" t="s">
        <v>426</v>
      </c>
      <c r="C744" s="111" t="s">
        <v>76</v>
      </c>
      <c r="D744" s="111" t="s">
        <v>78</v>
      </c>
      <c r="E744" s="111" t="s">
        <v>215</v>
      </c>
      <c r="F744" s="111"/>
      <c r="G744" s="112">
        <f>G745+G748</f>
        <v>12954</v>
      </c>
      <c r="H744" s="134">
        <f t="shared" si="348"/>
        <v>40</v>
      </c>
      <c r="I744" s="112">
        <f>I745+I748</f>
        <v>12994</v>
      </c>
      <c r="J744" s="112">
        <f t="shared" ref="J744" si="377">J745+J748</f>
        <v>9563.8409999999985</v>
      </c>
      <c r="K744" s="112">
        <f>K745+K748</f>
        <v>12994</v>
      </c>
      <c r="L744" s="112">
        <f t="shared" si="376"/>
        <v>100</v>
      </c>
    </row>
    <row r="745" spans="1:13" s="184" customFormat="1" ht="24">
      <c r="A745" s="127" t="s">
        <v>303</v>
      </c>
      <c r="B745" s="111" t="s">
        <v>426</v>
      </c>
      <c r="C745" s="111" t="s">
        <v>76</v>
      </c>
      <c r="D745" s="111" t="s">
        <v>78</v>
      </c>
      <c r="E745" s="111" t="s">
        <v>216</v>
      </c>
      <c r="F745" s="111"/>
      <c r="G745" s="112">
        <f>G746</f>
        <v>12500</v>
      </c>
      <c r="H745" s="134">
        <f t="shared" si="348"/>
        <v>0</v>
      </c>
      <c r="I745" s="112">
        <f>I746</f>
        <v>12500</v>
      </c>
      <c r="J745" s="112">
        <f t="shared" ref="J745:J746" si="378">J746</f>
        <v>9195.1309999999994</v>
      </c>
      <c r="K745" s="112">
        <f>K746</f>
        <v>12500</v>
      </c>
      <c r="L745" s="112">
        <f t="shared" si="376"/>
        <v>100</v>
      </c>
    </row>
    <row r="746" spans="1:13" s="184" customFormat="1" ht="36">
      <c r="A746" s="119" t="s">
        <v>79</v>
      </c>
      <c r="B746" s="120" t="s">
        <v>426</v>
      </c>
      <c r="C746" s="120" t="s">
        <v>76</v>
      </c>
      <c r="D746" s="120" t="s">
        <v>78</v>
      </c>
      <c r="E746" s="120" t="s">
        <v>216</v>
      </c>
      <c r="F746" s="120" t="s">
        <v>80</v>
      </c>
      <c r="G746" s="121">
        <f>G747</f>
        <v>12500</v>
      </c>
      <c r="H746" s="134">
        <f t="shared" si="348"/>
        <v>0</v>
      </c>
      <c r="I746" s="121">
        <f>I747</f>
        <v>12500</v>
      </c>
      <c r="J746" s="121">
        <f t="shared" si="378"/>
        <v>9195.1309999999994</v>
      </c>
      <c r="K746" s="121">
        <f>K747</f>
        <v>12500</v>
      </c>
      <c r="L746" s="121">
        <f t="shared" si="376"/>
        <v>100</v>
      </c>
    </row>
    <row r="747" spans="1:13" s="184" customFormat="1">
      <c r="A747" s="119" t="s">
        <v>81</v>
      </c>
      <c r="B747" s="120" t="s">
        <v>426</v>
      </c>
      <c r="C747" s="120" t="s">
        <v>76</v>
      </c>
      <c r="D747" s="120" t="s">
        <v>78</v>
      </c>
      <c r="E747" s="120" t="s">
        <v>216</v>
      </c>
      <c r="F747" s="120" t="s">
        <v>82</v>
      </c>
      <c r="G747" s="121">
        <f>9600+2900</f>
        <v>12500</v>
      </c>
      <c r="H747" s="134">
        <f t="shared" si="348"/>
        <v>0</v>
      </c>
      <c r="I747" s="121">
        <f>9600+2900</f>
        <v>12500</v>
      </c>
      <c r="J747" s="121">
        <v>9195.1309999999994</v>
      </c>
      <c r="K747" s="121">
        <f>9600+2900</f>
        <v>12500</v>
      </c>
      <c r="L747" s="121">
        <f t="shared" si="376"/>
        <v>100</v>
      </c>
    </row>
    <row r="748" spans="1:13" s="184" customFormat="1">
      <c r="A748" s="110" t="s">
        <v>83</v>
      </c>
      <c r="B748" s="111" t="s">
        <v>426</v>
      </c>
      <c r="C748" s="111" t="s">
        <v>76</v>
      </c>
      <c r="D748" s="111" t="s">
        <v>78</v>
      </c>
      <c r="E748" s="111" t="s">
        <v>217</v>
      </c>
      <c r="F748" s="111"/>
      <c r="G748" s="112">
        <f>G749+G751</f>
        <v>454</v>
      </c>
      <c r="H748" s="134">
        <f t="shared" si="348"/>
        <v>40</v>
      </c>
      <c r="I748" s="112">
        <f>I749+I751</f>
        <v>494</v>
      </c>
      <c r="J748" s="112">
        <f t="shared" ref="J748" si="379">J749+J751</f>
        <v>368.71</v>
      </c>
      <c r="K748" s="112">
        <f>K749+K751</f>
        <v>494</v>
      </c>
      <c r="L748" s="112">
        <f t="shared" si="376"/>
        <v>100</v>
      </c>
    </row>
    <row r="749" spans="1:13" s="184" customFormat="1">
      <c r="A749" s="119" t="s">
        <v>301</v>
      </c>
      <c r="B749" s="120" t="s">
        <v>426</v>
      </c>
      <c r="C749" s="120" t="s">
        <v>76</v>
      </c>
      <c r="D749" s="120" t="s">
        <v>78</v>
      </c>
      <c r="E749" s="120" t="s">
        <v>217</v>
      </c>
      <c r="F749" s="120" t="s">
        <v>84</v>
      </c>
      <c r="G749" s="121">
        <f>G750</f>
        <v>453</v>
      </c>
      <c r="H749" s="134">
        <f t="shared" si="348"/>
        <v>0</v>
      </c>
      <c r="I749" s="121">
        <f>I750</f>
        <v>453</v>
      </c>
      <c r="J749" s="121">
        <f t="shared" ref="J749" si="380">J750</f>
        <v>328.71</v>
      </c>
      <c r="K749" s="121">
        <f>K750</f>
        <v>453</v>
      </c>
      <c r="L749" s="121">
        <f t="shared" si="376"/>
        <v>100</v>
      </c>
    </row>
    <row r="750" spans="1:13" s="184" customFormat="1" ht="24">
      <c r="A750" s="119" t="s">
        <v>85</v>
      </c>
      <c r="B750" s="120" t="s">
        <v>426</v>
      </c>
      <c r="C750" s="120" t="s">
        <v>76</v>
      </c>
      <c r="D750" s="120" t="s">
        <v>78</v>
      </c>
      <c r="E750" s="120" t="s">
        <v>217</v>
      </c>
      <c r="F750" s="120" t="s">
        <v>86</v>
      </c>
      <c r="G750" s="121">
        <f>100+70+83+200</f>
        <v>453</v>
      </c>
      <c r="H750" s="134">
        <f t="shared" si="348"/>
        <v>0</v>
      </c>
      <c r="I750" s="121">
        <f>100+70+83+200</f>
        <v>453</v>
      </c>
      <c r="J750" s="121">
        <v>328.71</v>
      </c>
      <c r="K750" s="121">
        <f>100+70+83+200</f>
        <v>453</v>
      </c>
      <c r="L750" s="121">
        <f t="shared" si="376"/>
        <v>100</v>
      </c>
    </row>
    <row r="751" spans="1:13" s="184" customFormat="1">
      <c r="A751" s="119" t="s">
        <v>87</v>
      </c>
      <c r="B751" s="120" t="s">
        <v>426</v>
      </c>
      <c r="C751" s="120" t="s">
        <v>76</v>
      </c>
      <c r="D751" s="120" t="s">
        <v>78</v>
      </c>
      <c r="E751" s="120" t="s">
        <v>217</v>
      </c>
      <c r="F751" s="120" t="s">
        <v>88</v>
      </c>
      <c r="G751" s="121">
        <f>G752</f>
        <v>1</v>
      </c>
      <c r="H751" s="134">
        <f t="shared" si="348"/>
        <v>40</v>
      </c>
      <c r="I751" s="121">
        <f>I752</f>
        <v>41</v>
      </c>
      <c r="J751" s="121">
        <f t="shared" ref="J751" si="381">J752</f>
        <v>40</v>
      </c>
      <c r="K751" s="121">
        <f>K752</f>
        <v>41</v>
      </c>
      <c r="L751" s="121">
        <f t="shared" si="376"/>
        <v>100</v>
      </c>
    </row>
    <row r="752" spans="1:13" s="184" customFormat="1">
      <c r="A752" s="119" t="s">
        <v>514</v>
      </c>
      <c r="B752" s="120" t="s">
        <v>426</v>
      </c>
      <c r="C752" s="120" t="s">
        <v>76</v>
      </c>
      <c r="D752" s="120" t="s">
        <v>78</v>
      </c>
      <c r="E752" s="120" t="s">
        <v>217</v>
      </c>
      <c r="F752" s="120" t="s">
        <v>89</v>
      </c>
      <c r="G752" s="121">
        <v>1</v>
      </c>
      <c r="H752" s="134">
        <f t="shared" si="348"/>
        <v>40</v>
      </c>
      <c r="I752" s="121">
        <f>1+40</f>
        <v>41</v>
      </c>
      <c r="J752" s="121">
        <v>40</v>
      </c>
      <c r="K752" s="121">
        <f>1+40</f>
        <v>41</v>
      </c>
      <c r="L752" s="121">
        <f t="shared" si="376"/>
        <v>100</v>
      </c>
    </row>
    <row r="753" spans="1:12" s="184" customFormat="1">
      <c r="A753" s="110" t="s">
        <v>318</v>
      </c>
      <c r="B753" s="111" t="s">
        <v>426</v>
      </c>
      <c r="C753" s="111" t="s">
        <v>76</v>
      </c>
      <c r="D753" s="111" t="s">
        <v>93</v>
      </c>
      <c r="E753" s="120"/>
      <c r="F753" s="111"/>
      <c r="G753" s="112" t="e">
        <f>G754</f>
        <v>#REF!</v>
      </c>
      <c r="H753" s="134" t="e">
        <f t="shared" si="348"/>
        <v>#REF!</v>
      </c>
      <c r="I753" s="112">
        <f>I754</f>
        <v>1000</v>
      </c>
      <c r="J753" s="112">
        <f t="shared" ref="J753:J757" si="382">J754</f>
        <v>351.9</v>
      </c>
      <c r="K753" s="112">
        <f>K754</f>
        <v>1000</v>
      </c>
      <c r="L753" s="112">
        <f t="shared" si="376"/>
        <v>100</v>
      </c>
    </row>
    <row r="754" spans="1:12" s="184" customFormat="1">
      <c r="A754" s="145" t="s">
        <v>74</v>
      </c>
      <c r="B754" s="125" t="s">
        <v>426</v>
      </c>
      <c r="C754" s="125" t="s">
        <v>76</v>
      </c>
      <c r="D754" s="125" t="s">
        <v>93</v>
      </c>
      <c r="E754" s="125" t="s">
        <v>214</v>
      </c>
      <c r="F754" s="125"/>
      <c r="G754" s="126" t="e">
        <f>G755</f>
        <v>#REF!</v>
      </c>
      <c r="H754" s="134" t="e">
        <f t="shared" si="348"/>
        <v>#REF!</v>
      </c>
      <c r="I754" s="126">
        <f>I755</f>
        <v>1000</v>
      </c>
      <c r="J754" s="126">
        <f t="shared" si="382"/>
        <v>351.9</v>
      </c>
      <c r="K754" s="126">
        <f>K755</f>
        <v>1000</v>
      </c>
      <c r="L754" s="126">
        <f t="shared" si="376"/>
        <v>100</v>
      </c>
    </row>
    <row r="755" spans="1:12" s="184" customFormat="1">
      <c r="A755" s="110" t="s">
        <v>304</v>
      </c>
      <c r="B755" s="111" t="s">
        <v>426</v>
      </c>
      <c r="C755" s="111" t="s">
        <v>76</v>
      </c>
      <c r="D755" s="111" t="s">
        <v>93</v>
      </c>
      <c r="E755" s="111" t="s">
        <v>215</v>
      </c>
      <c r="F755" s="169"/>
      <c r="G755" s="112" t="e">
        <f>G756+#REF!</f>
        <v>#REF!</v>
      </c>
      <c r="H755" s="134" t="e">
        <f t="shared" si="348"/>
        <v>#REF!</v>
      </c>
      <c r="I755" s="112">
        <f>I756</f>
        <v>1000</v>
      </c>
      <c r="J755" s="112">
        <f t="shared" si="382"/>
        <v>351.9</v>
      </c>
      <c r="K755" s="112">
        <f>K756</f>
        <v>1000</v>
      </c>
      <c r="L755" s="112">
        <f t="shared" si="376"/>
        <v>100</v>
      </c>
    </row>
    <row r="756" spans="1:12" s="205" customFormat="1" ht="24">
      <c r="A756" s="124" t="s">
        <v>308</v>
      </c>
      <c r="B756" s="125" t="s">
        <v>426</v>
      </c>
      <c r="C756" s="125" t="s">
        <v>76</v>
      </c>
      <c r="D756" s="125" t="s">
        <v>93</v>
      </c>
      <c r="E756" s="125" t="s">
        <v>677</v>
      </c>
      <c r="F756" s="151"/>
      <c r="G756" s="126">
        <f>G757</f>
        <v>1000</v>
      </c>
      <c r="H756" s="134">
        <f t="shared" si="348"/>
        <v>0</v>
      </c>
      <c r="I756" s="126">
        <f>I757</f>
        <v>1000</v>
      </c>
      <c r="J756" s="126">
        <f t="shared" si="382"/>
        <v>351.9</v>
      </c>
      <c r="K756" s="126">
        <f>K757</f>
        <v>1000</v>
      </c>
      <c r="L756" s="126">
        <f t="shared" si="376"/>
        <v>100</v>
      </c>
    </row>
    <row r="757" spans="1:12" s="184" customFormat="1">
      <c r="A757" s="119" t="s">
        <v>301</v>
      </c>
      <c r="B757" s="120" t="s">
        <v>426</v>
      </c>
      <c r="C757" s="120" t="s">
        <v>76</v>
      </c>
      <c r="D757" s="120" t="s">
        <v>93</v>
      </c>
      <c r="E757" s="120" t="s">
        <v>677</v>
      </c>
      <c r="F757" s="137">
        <v>200</v>
      </c>
      <c r="G757" s="121">
        <f>G758</f>
        <v>1000</v>
      </c>
      <c r="H757" s="134">
        <f t="shared" si="348"/>
        <v>0</v>
      </c>
      <c r="I757" s="121">
        <f>I758</f>
        <v>1000</v>
      </c>
      <c r="J757" s="121">
        <f t="shared" si="382"/>
        <v>351.9</v>
      </c>
      <c r="K757" s="121">
        <f>K758</f>
        <v>1000</v>
      </c>
      <c r="L757" s="121">
        <f t="shared" si="376"/>
        <v>100</v>
      </c>
    </row>
    <row r="758" spans="1:12" s="184" customFormat="1" ht="24">
      <c r="A758" s="119" t="s">
        <v>85</v>
      </c>
      <c r="B758" s="137">
        <v>611</v>
      </c>
      <c r="C758" s="120" t="s">
        <v>76</v>
      </c>
      <c r="D758" s="120" t="s">
        <v>93</v>
      </c>
      <c r="E758" s="120" t="s">
        <v>677</v>
      </c>
      <c r="F758" s="120" t="s">
        <v>86</v>
      </c>
      <c r="G758" s="121">
        <v>1000</v>
      </c>
      <c r="H758" s="134">
        <f t="shared" si="348"/>
        <v>0</v>
      </c>
      <c r="I758" s="121">
        <v>1000</v>
      </c>
      <c r="J758" s="121">
        <v>351.9</v>
      </c>
      <c r="K758" s="121">
        <v>1000</v>
      </c>
      <c r="L758" s="121">
        <f t="shared" si="376"/>
        <v>100</v>
      </c>
    </row>
    <row r="759" spans="1:12" s="184" customFormat="1">
      <c r="A759" s="110" t="s">
        <v>363</v>
      </c>
      <c r="B759" s="111" t="s">
        <v>426</v>
      </c>
      <c r="C759" s="111" t="s">
        <v>78</v>
      </c>
      <c r="D759" s="111" t="s">
        <v>77</v>
      </c>
      <c r="E759" s="111"/>
      <c r="F759" s="111"/>
      <c r="G759" s="112">
        <f t="shared" ref="G759:K764" si="383">G760</f>
        <v>1000</v>
      </c>
      <c r="H759" s="134">
        <f t="shared" ref="H759:H837" si="384">I759-G759</f>
        <v>-40</v>
      </c>
      <c r="I759" s="112">
        <f t="shared" si="383"/>
        <v>960</v>
      </c>
      <c r="J759" s="112">
        <f t="shared" si="383"/>
        <v>96.125</v>
      </c>
      <c r="K759" s="112">
        <f t="shared" si="383"/>
        <v>960</v>
      </c>
      <c r="L759" s="112">
        <f t="shared" si="376"/>
        <v>100</v>
      </c>
    </row>
    <row r="760" spans="1:12" s="184" customFormat="1">
      <c r="A760" s="110" t="s">
        <v>405</v>
      </c>
      <c r="B760" s="111" t="s">
        <v>426</v>
      </c>
      <c r="C760" s="111" t="s">
        <v>78</v>
      </c>
      <c r="D760" s="111" t="s">
        <v>489</v>
      </c>
      <c r="E760" s="125"/>
      <c r="F760" s="125"/>
      <c r="G760" s="112">
        <f t="shared" si="383"/>
        <v>1000</v>
      </c>
      <c r="H760" s="134">
        <f t="shared" si="384"/>
        <v>-40</v>
      </c>
      <c r="I760" s="112">
        <f t="shared" si="383"/>
        <v>960</v>
      </c>
      <c r="J760" s="112">
        <f t="shared" si="383"/>
        <v>96.125</v>
      </c>
      <c r="K760" s="112">
        <f t="shared" si="383"/>
        <v>960</v>
      </c>
      <c r="L760" s="112">
        <f t="shared" si="376"/>
        <v>100</v>
      </c>
    </row>
    <row r="761" spans="1:12" s="184" customFormat="1">
      <c r="A761" s="145" t="s">
        <v>74</v>
      </c>
      <c r="B761" s="125" t="s">
        <v>426</v>
      </c>
      <c r="C761" s="125" t="s">
        <v>78</v>
      </c>
      <c r="D761" s="125" t="s">
        <v>489</v>
      </c>
      <c r="E761" s="125" t="s">
        <v>214</v>
      </c>
      <c r="F761" s="125"/>
      <c r="G761" s="126">
        <f t="shared" si="383"/>
        <v>1000</v>
      </c>
      <c r="H761" s="134">
        <f t="shared" si="384"/>
        <v>-40</v>
      </c>
      <c r="I761" s="126">
        <f t="shared" si="383"/>
        <v>960</v>
      </c>
      <c r="J761" s="126">
        <f t="shared" si="383"/>
        <v>96.125</v>
      </c>
      <c r="K761" s="126">
        <f t="shared" si="383"/>
        <v>960</v>
      </c>
      <c r="L761" s="126">
        <f t="shared" si="376"/>
        <v>100</v>
      </c>
    </row>
    <row r="762" spans="1:12" s="184" customFormat="1">
      <c r="A762" s="110" t="s">
        <v>304</v>
      </c>
      <c r="B762" s="150">
        <v>611</v>
      </c>
      <c r="C762" s="111" t="s">
        <v>78</v>
      </c>
      <c r="D762" s="111" t="s">
        <v>489</v>
      </c>
      <c r="E762" s="111" t="s">
        <v>215</v>
      </c>
      <c r="F762" s="111"/>
      <c r="G762" s="112">
        <f t="shared" si="383"/>
        <v>1000</v>
      </c>
      <c r="H762" s="134">
        <f t="shared" si="384"/>
        <v>-40</v>
      </c>
      <c r="I762" s="112">
        <f t="shared" si="383"/>
        <v>960</v>
      </c>
      <c r="J762" s="112">
        <f t="shared" si="383"/>
        <v>96.125</v>
      </c>
      <c r="K762" s="112">
        <f t="shared" si="383"/>
        <v>960</v>
      </c>
      <c r="L762" s="112">
        <f t="shared" si="376"/>
        <v>100</v>
      </c>
    </row>
    <row r="763" spans="1:12" s="184" customFormat="1">
      <c r="A763" s="143" t="s">
        <v>348</v>
      </c>
      <c r="B763" s="170">
        <v>611</v>
      </c>
      <c r="C763" s="139" t="s">
        <v>78</v>
      </c>
      <c r="D763" s="139" t="s">
        <v>489</v>
      </c>
      <c r="E763" s="139" t="s">
        <v>678</v>
      </c>
      <c r="F763" s="139"/>
      <c r="G763" s="144">
        <f t="shared" si="383"/>
        <v>1000</v>
      </c>
      <c r="H763" s="134">
        <f t="shared" si="384"/>
        <v>-40</v>
      </c>
      <c r="I763" s="144">
        <f t="shared" si="383"/>
        <v>960</v>
      </c>
      <c r="J763" s="144">
        <f t="shared" si="383"/>
        <v>96.125</v>
      </c>
      <c r="K763" s="144">
        <f t="shared" si="383"/>
        <v>960</v>
      </c>
      <c r="L763" s="144">
        <f t="shared" si="376"/>
        <v>100</v>
      </c>
    </row>
    <row r="764" spans="1:12" s="184" customFormat="1">
      <c r="A764" s="119" t="s">
        <v>301</v>
      </c>
      <c r="B764" s="120" t="s">
        <v>426</v>
      </c>
      <c r="C764" s="120" t="s">
        <v>78</v>
      </c>
      <c r="D764" s="120" t="s">
        <v>489</v>
      </c>
      <c r="E764" s="120" t="s">
        <v>678</v>
      </c>
      <c r="F764" s="137">
        <v>200</v>
      </c>
      <c r="G764" s="121">
        <f t="shared" si="383"/>
        <v>1000</v>
      </c>
      <c r="H764" s="134">
        <f t="shared" si="384"/>
        <v>-40</v>
      </c>
      <c r="I764" s="121">
        <f t="shared" si="383"/>
        <v>960</v>
      </c>
      <c r="J764" s="121">
        <f t="shared" si="383"/>
        <v>96.125</v>
      </c>
      <c r="K764" s="121">
        <f t="shared" si="383"/>
        <v>960</v>
      </c>
      <c r="L764" s="121">
        <f t="shared" si="376"/>
        <v>100</v>
      </c>
    </row>
    <row r="765" spans="1:12" s="184" customFormat="1" ht="24">
      <c r="A765" s="119" t="s">
        <v>85</v>
      </c>
      <c r="B765" s="137">
        <v>611</v>
      </c>
      <c r="C765" s="120" t="s">
        <v>78</v>
      </c>
      <c r="D765" s="120" t="s">
        <v>489</v>
      </c>
      <c r="E765" s="120" t="s">
        <v>678</v>
      </c>
      <c r="F765" s="120" t="s">
        <v>86</v>
      </c>
      <c r="G765" s="121">
        <v>1000</v>
      </c>
      <c r="H765" s="134">
        <f t="shared" si="384"/>
        <v>-40</v>
      </c>
      <c r="I765" s="121">
        <f>1000-40</f>
        <v>960</v>
      </c>
      <c r="J765" s="121">
        <v>96.125</v>
      </c>
      <c r="K765" s="121">
        <f>1000-40</f>
        <v>960</v>
      </c>
      <c r="L765" s="121">
        <f t="shared" si="376"/>
        <v>100</v>
      </c>
    </row>
    <row r="766" spans="1:12" s="184" customFormat="1" ht="15.75">
      <c r="A766" s="113" t="s">
        <v>300</v>
      </c>
      <c r="B766" s="116" t="s">
        <v>135</v>
      </c>
      <c r="C766" s="116"/>
      <c r="D766" s="116"/>
      <c r="E766" s="116"/>
      <c r="F766" s="116"/>
      <c r="G766" s="118" t="e">
        <f>G767+G862</f>
        <v>#REF!</v>
      </c>
      <c r="H766" s="134" t="e">
        <f t="shared" si="384"/>
        <v>#REF!</v>
      </c>
      <c r="I766" s="118">
        <f>I767+I862</f>
        <v>2872549.2209299998</v>
      </c>
      <c r="J766" s="118">
        <f t="shared" ref="J766" si="385">J767+J862</f>
        <v>2122959.3147999998</v>
      </c>
      <c r="K766" s="118">
        <f>K767+K862</f>
        <v>2751620.4209299996</v>
      </c>
      <c r="L766" s="118">
        <f>K766/I766*100</f>
        <v>95.790192240436213</v>
      </c>
    </row>
    <row r="767" spans="1:12" s="184" customFormat="1">
      <c r="A767" s="110" t="s">
        <v>381</v>
      </c>
      <c r="B767" s="111" t="s">
        <v>135</v>
      </c>
      <c r="C767" s="111" t="s">
        <v>490</v>
      </c>
      <c r="D767" s="111" t="s">
        <v>77</v>
      </c>
      <c r="E767" s="111"/>
      <c r="F767" s="111"/>
      <c r="G767" s="112">
        <f>G768+G782+G806+G819</f>
        <v>2636958.54</v>
      </c>
      <c r="H767" s="134">
        <f t="shared" si="384"/>
        <v>212423.45092999982</v>
      </c>
      <c r="I767" s="112">
        <f>I768+I782+I806+I819+I813</f>
        <v>2849381.9909299999</v>
      </c>
      <c r="J767" s="112">
        <f t="shared" ref="J767" si="386">J768+J782+J806+J819+J813</f>
        <v>2112665.3707999997</v>
      </c>
      <c r="K767" s="112">
        <f>K768+K782+K806+K819+K813</f>
        <v>2730804.5909299995</v>
      </c>
      <c r="L767" s="112">
        <f>K767/I767*100</f>
        <v>95.838487069215375</v>
      </c>
    </row>
    <row r="768" spans="1:12" s="184" customFormat="1">
      <c r="A768" s="110" t="s">
        <v>382</v>
      </c>
      <c r="B768" s="111" t="s">
        <v>135</v>
      </c>
      <c r="C768" s="111" t="s">
        <v>490</v>
      </c>
      <c r="D768" s="111" t="s">
        <v>76</v>
      </c>
      <c r="E768" s="111"/>
      <c r="F768" s="111"/>
      <c r="G768" s="112">
        <f>G769</f>
        <v>1243264.98</v>
      </c>
      <c r="H768" s="134">
        <f t="shared" si="384"/>
        <v>-18302.524999999907</v>
      </c>
      <c r="I768" s="112">
        <f>I769</f>
        <v>1224962.4550000001</v>
      </c>
      <c r="J768" s="112">
        <f t="shared" ref="J768:J769" si="387">J769</f>
        <v>867906.30700000003</v>
      </c>
      <c r="K768" s="112">
        <f>K769</f>
        <v>1129836.855</v>
      </c>
      <c r="L768" s="112">
        <f t="shared" ref="L768:L831" si="388">K768/I768*100</f>
        <v>92.234406890454451</v>
      </c>
    </row>
    <row r="769" spans="1:13" s="184" customFormat="1" ht="27">
      <c r="A769" s="123" t="s">
        <v>691</v>
      </c>
      <c r="B769" s="114" t="s">
        <v>135</v>
      </c>
      <c r="C769" s="114" t="s">
        <v>490</v>
      </c>
      <c r="D769" s="114" t="s">
        <v>76</v>
      </c>
      <c r="E769" s="114" t="s">
        <v>162</v>
      </c>
      <c r="F769" s="114"/>
      <c r="G769" s="115">
        <f>G770</f>
        <v>1243264.98</v>
      </c>
      <c r="H769" s="134">
        <f t="shared" si="384"/>
        <v>-18302.524999999907</v>
      </c>
      <c r="I769" s="115">
        <f>I770</f>
        <v>1224962.4550000001</v>
      </c>
      <c r="J769" s="115">
        <f t="shared" si="387"/>
        <v>867906.30700000003</v>
      </c>
      <c r="K769" s="115">
        <f>K770</f>
        <v>1129836.855</v>
      </c>
      <c r="L769" s="115">
        <f t="shared" si="388"/>
        <v>92.234406890454451</v>
      </c>
    </row>
    <row r="770" spans="1:13" s="184" customFormat="1">
      <c r="A770" s="110" t="s">
        <v>273</v>
      </c>
      <c r="B770" s="111" t="s">
        <v>135</v>
      </c>
      <c r="C770" s="111" t="s">
        <v>490</v>
      </c>
      <c r="D770" s="111" t="s">
        <v>76</v>
      </c>
      <c r="E770" s="111" t="s">
        <v>163</v>
      </c>
      <c r="F770" s="111"/>
      <c r="G770" s="112">
        <f>G771+G775</f>
        <v>1243264.98</v>
      </c>
      <c r="H770" s="134">
        <f t="shared" si="384"/>
        <v>-18302.524999999907</v>
      </c>
      <c r="I770" s="112">
        <f>I771+I775+I779</f>
        <v>1224962.4550000001</v>
      </c>
      <c r="J770" s="112">
        <f t="shared" ref="J770" si="389">J771+J775+J779</f>
        <v>867906.30700000003</v>
      </c>
      <c r="K770" s="112">
        <f>K771+K775+K779</f>
        <v>1129836.855</v>
      </c>
      <c r="L770" s="112">
        <f t="shared" si="388"/>
        <v>92.234406890454451</v>
      </c>
    </row>
    <row r="771" spans="1:13" s="184" customFormat="1" ht="24">
      <c r="A771" s="124" t="s">
        <v>274</v>
      </c>
      <c r="B771" s="125" t="s">
        <v>135</v>
      </c>
      <c r="C771" s="125" t="s">
        <v>490</v>
      </c>
      <c r="D771" s="125" t="s">
        <v>76</v>
      </c>
      <c r="E771" s="125" t="s">
        <v>164</v>
      </c>
      <c r="F771" s="125"/>
      <c r="G771" s="126">
        <f>G772</f>
        <v>485270.98</v>
      </c>
      <c r="H771" s="134">
        <f t="shared" si="384"/>
        <v>-20450.024999999965</v>
      </c>
      <c r="I771" s="126">
        <f>I772</f>
        <v>464820.95500000002</v>
      </c>
      <c r="J771" s="126">
        <f t="shared" ref="J771" si="390">J772</f>
        <v>302181.15899999999</v>
      </c>
      <c r="K771" s="126">
        <f>K772</f>
        <v>409814.05499999999</v>
      </c>
      <c r="L771" s="126">
        <f t="shared" si="388"/>
        <v>88.16600254177439</v>
      </c>
    </row>
    <row r="772" spans="1:13" s="184" customFormat="1" ht="24">
      <c r="A772" s="119" t="s">
        <v>104</v>
      </c>
      <c r="B772" s="120" t="s">
        <v>135</v>
      </c>
      <c r="C772" s="120" t="s">
        <v>490</v>
      </c>
      <c r="D772" s="120" t="s">
        <v>76</v>
      </c>
      <c r="E772" s="120" t="s">
        <v>681</v>
      </c>
      <c r="F772" s="120" t="s">
        <v>408</v>
      </c>
      <c r="G772" s="121">
        <f>G773+G774</f>
        <v>485270.98</v>
      </c>
      <c r="H772" s="134">
        <f t="shared" si="384"/>
        <v>-20450.024999999965</v>
      </c>
      <c r="I772" s="121">
        <f>I773+I774</f>
        <v>464820.95500000002</v>
      </c>
      <c r="J772" s="121">
        <f t="shared" ref="J772" si="391">J773+J774</f>
        <v>302181.15899999999</v>
      </c>
      <c r="K772" s="121">
        <f>K773+K774</f>
        <v>409814.05499999999</v>
      </c>
      <c r="L772" s="121">
        <f t="shared" si="388"/>
        <v>88.16600254177439</v>
      </c>
      <c r="M772" s="255"/>
    </row>
    <row r="773" spans="1:13" s="184" customFormat="1">
      <c r="A773" s="119" t="s">
        <v>105</v>
      </c>
      <c r="B773" s="130">
        <v>612</v>
      </c>
      <c r="C773" s="120" t="s">
        <v>490</v>
      </c>
      <c r="D773" s="120" t="s">
        <v>76</v>
      </c>
      <c r="E773" s="120" t="s">
        <v>681</v>
      </c>
      <c r="F773" s="120" t="s">
        <v>425</v>
      </c>
      <c r="G773" s="121">
        <f>386354.38+55200</f>
        <v>441554.38</v>
      </c>
      <c r="H773" s="134">
        <f t="shared" si="384"/>
        <v>-20450.025599999994</v>
      </c>
      <c r="I773" s="121">
        <f>441554.3544-15450-5000</f>
        <v>421104.35440000001</v>
      </c>
      <c r="J773" s="121">
        <v>271318.54800000001</v>
      </c>
      <c r="K773" s="121">
        <f>441554.3544-15450-5000-55006.9</f>
        <v>366097.45439999999</v>
      </c>
      <c r="L773" s="121">
        <f t="shared" si="388"/>
        <v>86.937465873898361</v>
      </c>
    </row>
    <row r="774" spans="1:13" s="184" customFormat="1">
      <c r="A774" s="119" t="s">
        <v>516</v>
      </c>
      <c r="B774" s="130">
        <v>612</v>
      </c>
      <c r="C774" s="120" t="s">
        <v>490</v>
      </c>
      <c r="D774" s="120" t="s">
        <v>76</v>
      </c>
      <c r="E774" s="120" t="s">
        <v>681</v>
      </c>
      <c r="F774" s="120" t="s">
        <v>517</v>
      </c>
      <c r="G774" s="121">
        <f>38916.6+4800</f>
        <v>43716.6</v>
      </c>
      <c r="H774" s="134">
        <f t="shared" si="384"/>
        <v>5.9999999939464033E-4</v>
      </c>
      <c r="I774" s="121">
        <v>43716.600599999998</v>
      </c>
      <c r="J774" s="121">
        <v>30862.611000000001</v>
      </c>
      <c r="K774" s="121">
        <v>43716.600599999998</v>
      </c>
      <c r="L774" s="121">
        <f t="shared" si="388"/>
        <v>100</v>
      </c>
    </row>
    <row r="775" spans="1:13" s="184" customFormat="1" ht="48">
      <c r="A775" s="124" t="s">
        <v>364</v>
      </c>
      <c r="B775" s="129">
        <v>612</v>
      </c>
      <c r="C775" s="125" t="s">
        <v>490</v>
      </c>
      <c r="D775" s="125" t="s">
        <v>76</v>
      </c>
      <c r="E775" s="125" t="s">
        <v>165</v>
      </c>
      <c r="F775" s="125"/>
      <c r="G775" s="126">
        <f>G776</f>
        <v>757994</v>
      </c>
      <c r="H775" s="134">
        <f t="shared" si="384"/>
        <v>436</v>
      </c>
      <c r="I775" s="126">
        <f>I776</f>
        <v>758430</v>
      </c>
      <c r="J775" s="126">
        <f t="shared" ref="J775" si="392">J776</f>
        <v>564013.64800000004</v>
      </c>
      <c r="K775" s="126">
        <f>K776</f>
        <v>718311.3</v>
      </c>
      <c r="L775" s="126">
        <f t="shared" si="388"/>
        <v>94.710296269926047</v>
      </c>
    </row>
    <row r="776" spans="1:13" s="184" customFormat="1" ht="24">
      <c r="A776" s="119" t="s">
        <v>104</v>
      </c>
      <c r="B776" s="130">
        <v>612</v>
      </c>
      <c r="C776" s="120" t="s">
        <v>490</v>
      </c>
      <c r="D776" s="120" t="s">
        <v>76</v>
      </c>
      <c r="E776" s="120" t="s">
        <v>165</v>
      </c>
      <c r="F776" s="120" t="s">
        <v>408</v>
      </c>
      <c r="G776" s="121">
        <f>G777+G778</f>
        <v>757994</v>
      </c>
      <c r="H776" s="134">
        <f t="shared" si="384"/>
        <v>436</v>
      </c>
      <c r="I776" s="121">
        <f>I777+I778</f>
        <v>758430</v>
      </c>
      <c r="J776" s="121">
        <f t="shared" ref="J776" si="393">J777+J778</f>
        <v>564013.64800000004</v>
      </c>
      <c r="K776" s="121">
        <f>K777+K778</f>
        <v>718311.3</v>
      </c>
      <c r="L776" s="121">
        <f t="shared" si="388"/>
        <v>94.710296269926047</v>
      </c>
    </row>
    <row r="777" spans="1:13" s="184" customFormat="1">
      <c r="A777" s="119" t="s">
        <v>105</v>
      </c>
      <c r="B777" s="130">
        <v>612</v>
      </c>
      <c r="C777" s="120" t="s">
        <v>490</v>
      </c>
      <c r="D777" s="120" t="s">
        <v>76</v>
      </c>
      <c r="E777" s="120" t="s">
        <v>165</v>
      </c>
      <c r="F777" s="120" t="s">
        <v>425</v>
      </c>
      <c r="G777" s="121">
        <v>704392</v>
      </c>
      <c r="H777" s="134">
        <f t="shared" si="384"/>
        <v>436</v>
      </c>
      <c r="I777" s="121">
        <v>704828</v>
      </c>
      <c r="J777" s="121">
        <v>512248.375</v>
      </c>
      <c r="K777" s="121">
        <f>704392+436-52393.7+12275</f>
        <v>664709.30000000005</v>
      </c>
      <c r="L777" s="121">
        <f t="shared" si="388"/>
        <v>94.308015572593604</v>
      </c>
    </row>
    <row r="778" spans="1:13" s="184" customFormat="1">
      <c r="A778" s="119" t="s">
        <v>516</v>
      </c>
      <c r="B778" s="130">
        <v>612</v>
      </c>
      <c r="C778" s="120" t="s">
        <v>490</v>
      </c>
      <c r="D778" s="120" t="s">
        <v>76</v>
      </c>
      <c r="E778" s="120" t="s">
        <v>165</v>
      </c>
      <c r="F778" s="120" t="s">
        <v>517</v>
      </c>
      <c r="G778" s="121">
        <v>53602</v>
      </c>
      <c r="H778" s="134">
        <f t="shared" si="384"/>
        <v>0</v>
      </c>
      <c r="I778" s="121">
        <v>53602</v>
      </c>
      <c r="J778" s="121">
        <v>51765.273000000001</v>
      </c>
      <c r="K778" s="121">
        <f>53602+12275-12275</f>
        <v>53602</v>
      </c>
      <c r="L778" s="121">
        <f t="shared" si="388"/>
        <v>100</v>
      </c>
      <c r="M778" s="255"/>
    </row>
    <row r="779" spans="1:13" s="184" customFormat="1" ht="24">
      <c r="A779" s="110" t="s">
        <v>723</v>
      </c>
      <c r="B779" s="111" t="s">
        <v>135</v>
      </c>
      <c r="C779" s="111" t="s">
        <v>490</v>
      </c>
      <c r="D779" s="111" t="s">
        <v>76</v>
      </c>
      <c r="E779" s="111" t="s">
        <v>724</v>
      </c>
      <c r="F779" s="111"/>
      <c r="G779" s="121"/>
      <c r="H779" s="134"/>
      <c r="I779" s="112">
        <f>I780</f>
        <v>1711.5</v>
      </c>
      <c r="J779" s="112">
        <f t="shared" ref="J779:J780" si="394">J780</f>
        <v>1711.5</v>
      </c>
      <c r="K779" s="112">
        <f>K780</f>
        <v>1711.5</v>
      </c>
      <c r="L779" s="112">
        <f t="shared" si="388"/>
        <v>100</v>
      </c>
    </row>
    <row r="780" spans="1:13" s="184" customFormat="1" ht="24">
      <c r="A780" s="119" t="s">
        <v>104</v>
      </c>
      <c r="B780" s="120" t="s">
        <v>135</v>
      </c>
      <c r="C780" s="120" t="s">
        <v>490</v>
      </c>
      <c r="D780" s="120" t="s">
        <v>76</v>
      </c>
      <c r="E780" s="120" t="s">
        <v>724</v>
      </c>
      <c r="F780" s="120" t="s">
        <v>408</v>
      </c>
      <c r="G780" s="121"/>
      <c r="H780" s="134"/>
      <c r="I780" s="121">
        <f>I781</f>
        <v>1711.5</v>
      </c>
      <c r="J780" s="121">
        <f t="shared" si="394"/>
        <v>1711.5</v>
      </c>
      <c r="K780" s="121">
        <f>K781</f>
        <v>1711.5</v>
      </c>
      <c r="L780" s="121">
        <f t="shared" si="388"/>
        <v>100</v>
      </c>
    </row>
    <row r="781" spans="1:13" s="184" customFormat="1">
      <c r="A781" s="119" t="s">
        <v>105</v>
      </c>
      <c r="B781" s="120" t="s">
        <v>135</v>
      </c>
      <c r="C781" s="120" t="s">
        <v>490</v>
      </c>
      <c r="D781" s="120" t="s">
        <v>76</v>
      </c>
      <c r="E781" s="120" t="s">
        <v>724</v>
      </c>
      <c r="F781" s="120" t="s">
        <v>425</v>
      </c>
      <c r="G781" s="121"/>
      <c r="H781" s="134"/>
      <c r="I781" s="121">
        <v>1711.5</v>
      </c>
      <c r="J781" s="121">
        <v>1711.5</v>
      </c>
      <c r="K781" s="121">
        <v>1711.5</v>
      </c>
      <c r="L781" s="121">
        <f t="shared" si="388"/>
        <v>100</v>
      </c>
    </row>
    <row r="782" spans="1:13" s="184" customFormat="1">
      <c r="A782" s="110" t="s">
        <v>383</v>
      </c>
      <c r="B782" s="142">
        <v>612</v>
      </c>
      <c r="C782" s="111" t="s">
        <v>490</v>
      </c>
      <c r="D782" s="111" t="s">
        <v>491</v>
      </c>
      <c r="E782" s="111"/>
      <c r="F782" s="125"/>
      <c r="G782" s="112">
        <f>G783</f>
        <v>1189758.96</v>
      </c>
      <c r="H782" s="134">
        <f t="shared" si="384"/>
        <v>215921.35367999971</v>
      </c>
      <c r="I782" s="112">
        <f>I783</f>
        <v>1405680.3136799997</v>
      </c>
      <c r="J782" s="112">
        <f t="shared" ref="J782" si="395">J783</f>
        <v>1075304.3749999998</v>
      </c>
      <c r="K782" s="112">
        <f>K783</f>
        <v>1382228.5136799996</v>
      </c>
      <c r="L782" s="112">
        <f t="shared" si="388"/>
        <v>98.331640574903943</v>
      </c>
    </row>
    <row r="783" spans="1:13" s="184" customFormat="1" ht="27">
      <c r="A783" s="123" t="s">
        <v>691</v>
      </c>
      <c r="B783" s="114" t="s">
        <v>135</v>
      </c>
      <c r="C783" s="114" t="s">
        <v>490</v>
      </c>
      <c r="D783" s="114" t="s">
        <v>491</v>
      </c>
      <c r="E783" s="114" t="s">
        <v>162</v>
      </c>
      <c r="F783" s="114"/>
      <c r="G783" s="115">
        <f>G784+G801</f>
        <v>1189758.96</v>
      </c>
      <c r="H783" s="134">
        <f t="shared" si="384"/>
        <v>215921.35367999971</v>
      </c>
      <c r="I783" s="115">
        <f>I784+I801</f>
        <v>1405680.3136799997</v>
      </c>
      <c r="J783" s="115">
        <f t="shared" ref="J783" si="396">J784+J801</f>
        <v>1075304.3749999998</v>
      </c>
      <c r="K783" s="115">
        <f>K784+K801</f>
        <v>1382228.5136799996</v>
      </c>
      <c r="L783" s="115">
        <f t="shared" si="388"/>
        <v>98.331640574903943</v>
      </c>
    </row>
    <row r="784" spans="1:13" s="184" customFormat="1">
      <c r="A784" s="110" t="s">
        <v>273</v>
      </c>
      <c r="B784" s="111" t="s">
        <v>135</v>
      </c>
      <c r="C784" s="111" t="s">
        <v>490</v>
      </c>
      <c r="D784" s="111" t="s">
        <v>491</v>
      </c>
      <c r="E784" s="111" t="s">
        <v>163</v>
      </c>
      <c r="F784" s="111"/>
      <c r="G784" s="112">
        <f>G785+G789</f>
        <v>1162805.76</v>
      </c>
      <c r="H784" s="134">
        <f t="shared" si="384"/>
        <v>215921.35367999971</v>
      </c>
      <c r="I784" s="112">
        <f>I785+I789+I793+I797</f>
        <v>1378727.1136799997</v>
      </c>
      <c r="J784" s="112">
        <f t="shared" ref="J784" si="397">J785+J789+J793+J797</f>
        <v>1066791.9649999999</v>
      </c>
      <c r="K784" s="112">
        <f>K785+K789+K793+K797</f>
        <v>1355275.3136799997</v>
      </c>
      <c r="L784" s="112">
        <f t="shared" si="388"/>
        <v>98.299025255447091</v>
      </c>
    </row>
    <row r="785" spans="1:13" s="184" customFormat="1" ht="24">
      <c r="A785" s="143" t="s">
        <v>275</v>
      </c>
      <c r="B785" s="160">
        <v>612</v>
      </c>
      <c r="C785" s="139" t="s">
        <v>490</v>
      </c>
      <c r="D785" s="139" t="s">
        <v>491</v>
      </c>
      <c r="E785" s="139" t="s">
        <v>168</v>
      </c>
      <c r="F785" s="139"/>
      <c r="G785" s="144">
        <f>G786</f>
        <v>267584.15999999997</v>
      </c>
      <c r="H785" s="134">
        <f t="shared" si="384"/>
        <v>-9499.9899999999616</v>
      </c>
      <c r="I785" s="144">
        <f>I786</f>
        <v>258084.17</v>
      </c>
      <c r="J785" s="144">
        <f t="shared" ref="J785" si="398">J786</f>
        <v>203871.52399999998</v>
      </c>
      <c r="K785" s="144">
        <f>K786</f>
        <v>248084.17</v>
      </c>
      <c r="L785" s="144">
        <f t="shared" si="388"/>
        <v>96.125295092682364</v>
      </c>
    </row>
    <row r="786" spans="1:13" s="184" customFormat="1" ht="24">
      <c r="A786" s="119" t="s">
        <v>104</v>
      </c>
      <c r="B786" s="130">
        <v>612</v>
      </c>
      <c r="C786" s="120" t="s">
        <v>490</v>
      </c>
      <c r="D786" s="120" t="s">
        <v>491</v>
      </c>
      <c r="E786" s="120" t="s">
        <v>682</v>
      </c>
      <c r="F786" s="120" t="s">
        <v>408</v>
      </c>
      <c r="G786" s="121">
        <f>G787+G788</f>
        <v>267584.15999999997</v>
      </c>
      <c r="H786" s="134">
        <f t="shared" si="384"/>
        <v>-9499.9899999999616</v>
      </c>
      <c r="I786" s="121">
        <f>I787+I788</f>
        <v>258084.17</v>
      </c>
      <c r="J786" s="121">
        <f t="shared" ref="J786" si="399">J787+J788</f>
        <v>203871.52399999998</v>
      </c>
      <c r="K786" s="121">
        <f>K787+K788</f>
        <v>248084.17</v>
      </c>
      <c r="L786" s="121">
        <f t="shared" si="388"/>
        <v>96.125295092682364</v>
      </c>
      <c r="M786" s="255"/>
    </row>
    <row r="787" spans="1:13" s="184" customFormat="1">
      <c r="A787" s="119" t="s">
        <v>105</v>
      </c>
      <c r="B787" s="130">
        <v>612</v>
      </c>
      <c r="C787" s="120" t="s">
        <v>490</v>
      </c>
      <c r="D787" s="120" t="s">
        <v>491</v>
      </c>
      <c r="E787" s="120" t="s">
        <v>682</v>
      </c>
      <c r="F787" s="120" t="s">
        <v>425</v>
      </c>
      <c r="G787" s="121">
        <v>258812</v>
      </c>
      <c r="H787" s="134">
        <f t="shared" si="384"/>
        <v>-9200.0461899999937</v>
      </c>
      <c r="I787" s="121">
        <f>258811.95381-14200+5000</f>
        <v>249611.95381000001</v>
      </c>
      <c r="J787" s="121">
        <v>197820.91399999999</v>
      </c>
      <c r="K787" s="121">
        <f>258811.95381-14200+5000-10000</f>
        <v>239611.95381000001</v>
      </c>
      <c r="L787" s="121">
        <f t="shared" si="388"/>
        <v>95.993781608868062</v>
      </c>
    </row>
    <row r="788" spans="1:13" s="184" customFormat="1">
      <c r="A788" s="119" t="s">
        <v>516</v>
      </c>
      <c r="B788" s="130">
        <v>612</v>
      </c>
      <c r="C788" s="120" t="s">
        <v>490</v>
      </c>
      <c r="D788" s="120" t="s">
        <v>491</v>
      </c>
      <c r="E788" s="120" t="s">
        <v>682</v>
      </c>
      <c r="F788" s="120" t="s">
        <v>517</v>
      </c>
      <c r="G788" s="121">
        <v>8772.16</v>
      </c>
      <c r="H788" s="134">
        <f t="shared" si="384"/>
        <v>-299.94381000000067</v>
      </c>
      <c r="I788" s="121">
        <f>8772.21619-300</f>
        <v>8472.2161899999992</v>
      </c>
      <c r="J788" s="121">
        <v>6050.61</v>
      </c>
      <c r="K788" s="121">
        <f>8772.21619-300</f>
        <v>8472.2161899999992</v>
      </c>
      <c r="L788" s="121">
        <f t="shared" si="388"/>
        <v>100</v>
      </c>
    </row>
    <row r="789" spans="1:13" s="184" customFormat="1" ht="60">
      <c r="A789" s="140" t="s">
        <v>372</v>
      </c>
      <c r="B789" s="125" t="s">
        <v>135</v>
      </c>
      <c r="C789" s="125" t="s">
        <v>490</v>
      </c>
      <c r="D789" s="125" t="s">
        <v>491</v>
      </c>
      <c r="E789" s="125" t="s">
        <v>276</v>
      </c>
      <c r="F789" s="125"/>
      <c r="G789" s="126">
        <f>G790</f>
        <v>895221.6</v>
      </c>
      <c r="H789" s="134">
        <f t="shared" si="384"/>
        <v>121377.09999999998</v>
      </c>
      <c r="I789" s="126">
        <f>I790</f>
        <v>1016598.7</v>
      </c>
      <c r="J789" s="126">
        <f t="shared" ref="J789" si="400">J790</f>
        <v>830881.84499999997</v>
      </c>
      <c r="K789" s="126">
        <f>K790</f>
        <v>1003146.8999999999</v>
      </c>
      <c r="L789" s="126">
        <f t="shared" si="388"/>
        <v>98.676783670882131</v>
      </c>
    </row>
    <row r="790" spans="1:13" s="184" customFormat="1" ht="24">
      <c r="A790" s="119" t="s">
        <v>104</v>
      </c>
      <c r="B790" s="120" t="s">
        <v>135</v>
      </c>
      <c r="C790" s="120" t="s">
        <v>490</v>
      </c>
      <c r="D790" s="120" t="s">
        <v>491</v>
      </c>
      <c r="E790" s="120" t="s">
        <v>276</v>
      </c>
      <c r="F790" s="120" t="s">
        <v>408</v>
      </c>
      <c r="G790" s="121">
        <f>G791+G792</f>
        <v>895221.6</v>
      </c>
      <c r="H790" s="134">
        <f t="shared" si="384"/>
        <v>121377.09999999998</v>
      </c>
      <c r="I790" s="121">
        <f>I791+I792</f>
        <v>1016598.7</v>
      </c>
      <c r="J790" s="121">
        <f t="shared" ref="J790" si="401">J791+J792</f>
        <v>830881.84499999997</v>
      </c>
      <c r="K790" s="121">
        <f>K791+K792</f>
        <v>1003146.8999999999</v>
      </c>
      <c r="L790" s="121">
        <f t="shared" si="388"/>
        <v>98.676783670882131</v>
      </c>
    </row>
    <row r="791" spans="1:13" s="184" customFormat="1">
      <c r="A791" s="119" t="s">
        <v>105</v>
      </c>
      <c r="B791" s="120" t="s">
        <v>135</v>
      </c>
      <c r="C791" s="120" t="s">
        <v>490</v>
      </c>
      <c r="D791" s="120" t="s">
        <v>491</v>
      </c>
      <c r="E791" s="120" t="s">
        <v>276</v>
      </c>
      <c r="F791" s="120" t="s">
        <v>425</v>
      </c>
      <c r="G791" s="121">
        <v>858626.6</v>
      </c>
      <c r="H791" s="134">
        <f t="shared" si="384"/>
        <v>117802.59999999998</v>
      </c>
      <c r="I791" s="121">
        <v>976429.2</v>
      </c>
      <c r="J791" s="121">
        <v>796893.79799999995</v>
      </c>
      <c r="K791" s="121">
        <f>858626.6+121377.1-3574.5-14324.9+873.1</f>
        <v>962977.39999999991</v>
      </c>
      <c r="L791" s="121">
        <f t="shared" si="388"/>
        <v>98.622347631553822</v>
      </c>
    </row>
    <row r="792" spans="1:13" s="184" customFormat="1">
      <c r="A792" s="119" t="s">
        <v>516</v>
      </c>
      <c r="B792" s="120" t="s">
        <v>135</v>
      </c>
      <c r="C792" s="120" t="s">
        <v>490</v>
      </c>
      <c r="D792" s="120" t="s">
        <v>491</v>
      </c>
      <c r="E792" s="120" t="s">
        <v>276</v>
      </c>
      <c r="F792" s="120" t="s">
        <v>517</v>
      </c>
      <c r="G792" s="121">
        <v>36595</v>
      </c>
      <c r="H792" s="134">
        <f t="shared" si="384"/>
        <v>3574.5</v>
      </c>
      <c r="I792" s="121">
        <v>40169.5</v>
      </c>
      <c r="J792" s="121">
        <v>33988.046999999999</v>
      </c>
      <c r="K792" s="121">
        <f>36595+3574.5+873.1-873.1</f>
        <v>40169.5</v>
      </c>
      <c r="L792" s="121">
        <f t="shared" si="388"/>
        <v>100</v>
      </c>
    </row>
    <row r="793" spans="1:13" s="184" customFormat="1" ht="36">
      <c r="A793" s="124" t="s">
        <v>770</v>
      </c>
      <c r="B793" s="125" t="s">
        <v>135</v>
      </c>
      <c r="C793" s="125" t="s">
        <v>490</v>
      </c>
      <c r="D793" s="125" t="s">
        <v>491</v>
      </c>
      <c r="E793" s="125" t="s">
        <v>771</v>
      </c>
      <c r="F793" s="125"/>
      <c r="G793" s="121"/>
      <c r="H793" s="134"/>
      <c r="I793" s="126">
        <f>I794</f>
        <v>32810.400000000001</v>
      </c>
      <c r="J793" s="126">
        <f t="shared" ref="J793" si="402">J794</f>
        <v>15956.704</v>
      </c>
      <c r="K793" s="126">
        <f>K794</f>
        <v>32810.400000000001</v>
      </c>
      <c r="L793" s="126">
        <f t="shared" si="388"/>
        <v>100</v>
      </c>
    </row>
    <row r="794" spans="1:13" s="184" customFormat="1" ht="24">
      <c r="A794" s="119" t="s">
        <v>104</v>
      </c>
      <c r="B794" s="120" t="s">
        <v>135</v>
      </c>
      <c r="C794" s="120" t="s">
        <v>490</v>
      </c>
      <c r="D794" s="120" t="s">
        <v>491</v>
      </c>
      <c r="E794" s="120" t="s">
        <v>771</v>
      </c>
      <c r="F794" s="120" t="s">
        <v>408</v>
      </c>
      <c r="G794" s="121"/>
      <c r="H794" s="134"/>
      <c r="I794" s="121">
        <f>I795+I796</f>
        <v>32810.400000000001</v>
      </c>
      <c r="J794" s="121">
        <f t="shared" ref="J794" si="403">J795+J796</f>
        <v>15956.704</v>
      </c>
      <c r="K794" s="121">
        <f>K795+K796</f>
        <v>32810.400000000001</v>
      </c>
      <c r="L794" s="121">
        <f t="shared" si="388"/>
        <v>100</v>
      </c>
    </row>
    <row r="795" spans="1:13" s="184" customFormat="1">
      <c r="A795" s="119" t="s">
        <v>105</v>
      </c>
      <c r="B795" s="120" t="s">
        <v>135</v>
      </c>
      <c r="C795" s="120" t="s">
        <v>490</v>
      </c>
      <c r="D795" s="120" t="s">
        <v>491</v>
      </c>
      <c r="E795" s="120" t="s">
        <v>771</v>
      </c>
      <c r="F795" s="120" t="s">
        <v>425</v>
      </c>
      <c r="G795" s="121"/>
      <c r="H795" s="134"/>
      <c r="I795" s="121">
        <v>31560.48</v>
      </c>
      <c r="J795" s="121">
        <v>15335.75</v>
      </c>
      <c r="K795" s="121">
        <v>31560.48</v>
      </c>
      <c r="L795" s="121">
        <f t="shared" si="388"/>
        <v>100</v>
      </c>
    </row>
    <row r="796" spans="1:13" s="184" customFormat="1">
      <c r="A796" s="119" t="s">
        <v>516</v>
      </c>
      <c r="B796" s="120" t="s">
        <v>135</v>
      </c>
      <c r="C796" s="120" t="s">
        <v>490</v>
      </c>
      <c r="D796" s="120" t="s">
        <v>491</v>
      </c>
      <c r="E796" s="120" t="s">
        <v>771</v>
      </c>
      <c r="F796" s="120" t="s">
        <v>517</v>
      </c>
      <c r="G796" s="121"/>
      <c r="H796" s="134"/>
      <c r="I796" s="121">
        <v>1249.92</v>
      </c>
      <c r="J796" s="121">
        <v>620.95399999999995</v>
      </c>
      <c r="K796" s="121">
        <v>1249.92</v>
      </c>
      <c r="L796" s="121">
        <f t="shared" si="388"/>
        <v>100</v>
      </c>
    </row>
    <row r="797" spans="1:13" s="184" customFormat="1" ht="36">
      <c r="A797" s="124" t="s">
        <v>772</v>
      </c>
      <c r="B797" s="125" t="s">
        <v>135</v>
      </c>
      <c r="C797" s="125" t="s">
        <v>490</v>
      </c>
      <c r="D797" s="125" t="s">
        <v>491</v>
      </c>
      <c r="E797" s="125" t="s">
        <v>773</v>
      </c>
      <c r="F797" s="125"/>
      <c r="G797" s="121"/>
      <c r="H797" s="134"/>
      <c r="I797" s="126">
        <f>I798</f>
        <v>71233.843680000005</v>
      </c>
      <c r="J797" s="126">
        <f t="shared" ref="J797" si="404">J798</f>
        <v>16081.892</v>
      </c>
      <c r="K797" s="126">
        <f>K798</f>
        <v>71233.843680000005</v>
      </c>
      <c r="L797" s="126">
        <f t="shared" si="388"/>
        <v>100</v>
      </c>
    </row>
    <row r="798" spans="1:13" s="184" customFormat="1" ht="24">
      <c r="A798" s="119" t="s">
        <v>104</v>
      </c>
      <c r="B798" s="120" t="s">
        <v>135</v>
      </c>
      <c r="C798" s="120" t="s">
        <v>490</v>
      </c>
      <c r="D798" s="120" t="s">
        <v>491</v>
      </c>
      <c r="E798" s="120" t="s">
        <v>773</v>
      </c>
      <c r="F798" s="120" t="s">
        <v>408</v>
      </c>
      <c r="G798" s="121"/>
      <c r="H798" s="134"/>
      <c r="I798" s="121">
        <f>I799+I800</f>
        <v>71233.843680000005</v>
      </c>
      <c r="J798" s="121">
        <f t="shared" ref="J798" si="405">J799+J800</f>
        <v>16081.892</v>
      </c>
      <c r="K798" s="121">
        <f>K799+K800</f>
        <v>71233.843680000005</v>
      </c>
      <c r="L798" s="121">
        <f t="shared" si="388"/>
        <v>100</v>
      </c>
    </row>
    <row r="799" spans="1:13" s="184" customFormat="1">
      <c r="A799" s="119" t="s">
        <v>105</v>
      </c>
      <c r="B799" s="120" t="s">
        <v>135</v>
      </c>
      <c r="C799" s="120" t="s">
        <v>490</v>
      </c>
      <c r="D799" s="120" t="s">
        <v>491</v>
      </c>
      <c r="E799" s="120" t="s">
        <v>773</v>
      </c>
      <c r="F799" s="120" t="s">
        <v>425</v>
      </c>
      <c r="G799" s="121"/>
      <c r="H799" s="134"/>
      <c r="I799" s="121">
        <v>67563.952680000002</v>
      </c>
      <c r="J799" s="121">
        <v>15405.727999999999</v>
      </c>
      <c r="K799" s="121">
        <v>67563.952680000002</v>
      </c>
      <c r="L799" s="121">
        <f t="shared" si="388"/>
        <v>100</v>
      </c>
    </row>
    <row r="800" spans="1:13" s="184" customFormat="1">
      <c r="A800" s="119" t="s">
        <v>516</v>
      </c>
      <c r="B800" s="120" t="s">
        <v>135</v>
      </c>
      <c r="C800" s="120" t="s">
        <v>490</v>
      </c>
      <c r="D800" s="120" t="s">
        <v>491</v>
      </c>
      <c r="E800" s="120" t="s">
        <v>773</v>
      </c>
      <c r="F800" s="120" t="s">
        <v>517</v>
      </c>
      <c r="G800" s="121"/>
      <c r="H800" s="134"/>
      <c r="I800" s="121">
        <v>3669.8910000000001</v>
      </c>
      <c r="J800" s="121">
        <v>676.16399999999999</v>
      </c>
      <c r="K800" s="121">
        <v>3669.8910000000001</v>
      </c>
      <c r="L800" s="121">
        <f t="shared" si="388"/>
        <v>100</v>
      </c>
    </row>
    <row r="801" spans="1:14" s="184" customFormat="1">
      <c r="A801" s="110" t="s">
        <v>289</v>
      </c>
      <c r="B801" s="111" t="s">
        <v>135</v>
      </c>
      <c r="C801" s="111" t="s">
        <v>490</v>
      </c>
      <c r="D801" s="111" t="s">
        <v>491</v>
      </c>
      <c r="E801" s="111" t="s">
        <v>171</v>
      </c>
      <c r="F801" s="111"/>
      <c r="G801" s="112">
        <f>G802</f>
        <v>26953.200000000001</v>
      </c>
      <c r="H801" s="134">
        <f t="shared" si="384"/>
        <v>0</v>
      </c>
      <c r="I801" s="112">
        <f>I802</f>
        <v>26953.200000000001</v>
      </c>
      <c r="J801" s="112">
        <f t="shared" ref="J801:J802" si="406">J802</f>
        <v>8512.41</v>
      </c>
      <c r="K801" s="112">
        <f>K802</f>
        <v>26953.200000000001</v>
      </c>
      <c r="L801" s="112">
        <f t="shared" si="388"/>
        <v>100</v>
      </c>
    </row>
    <row r="802" spans="1:14" s="184" customFormat="1" ht="24">
      <c r="A802" s="128" t="s">
        <v>179</v>
      </c>
      <c r="B802" s="125" t="s">
        <v>135</v>
      </c>
      <c r="C802" s="125" t="s">
        <v>490</v>
      </c>
      <c r="D802" s="125" t="s">
        <v>491</v>
      </c>
      <c r="E802" s="125" t="s">
        <v>493</v>
      </c>
      <c r="F802" s="125"/>
      <c r="G802" s="126">
        <f>G803</f>
        <v>26953.200000000001</v>
      </c>
      <c r="H802" s="134">
        <f t="shared" si="384"/>
        <v>0</v>
      </c>
      <c r="I802" s="126">
        <f>I803</f>
        <v>26953.200000000001</v>
      </c>
      <c r="J802" s="126">
        <f t="shared" si="406"/>
        <v>8512.41</v>
      </c>
      <c r="K802" s="126">
        <f>K803</f>
        <v>26953.200000000001</v>
      </c>
      <c r="L802" s="126">
        <f t="shared" si="388"/>
        <v>100</v>
      </c>
    </row>
    <row r="803" spans="1:14" s="184" customFormat="1" ht="24">
      <c r="A803" s="119" t="s">
        <v>104</v>
      </c>
      <c r="B803" s="120" t="s">
        <v>135</v>
      </c>
      <c r="C803" s="120" t="s">
        <v>490</v>
      </c>
      <c r="D803" s="120" t="s">
        <v>491</v>
      </c>
      <c r="E803" s="120" t="s">
        <v>686</v>
      </c>
      <c r="F803" s="120" t="s">
        <v>408</v>
      </c>
      <c r="G803" s="121">
        <f>G804+G805</f>
        <v>26953.200000000001</v>
      </c>
      <c r="H803" s="134">
        <f t="shared" si="384"/>
        <v>0</v>
      </c>
      <c r="I803" s="121">
        <f>I804+I805</f>
        <v>26953.200000000001</v>
      </c>
      <c r="J803" s="121">
        <f t="shared" ref="J803" si="407">J804+J805</f>
        <v>8512.41</v>
      </c>
      <c r="K803" s="121">
        <f>K804+K805</f>
        <v>26953.200000000001</v>
      </c>
      <c r="L803" s="121">
        <f t="shared" si="388"/>
        <v>100</v>
      </c>
    </row>
    <row r="804" spans="1:14" s="184" customFormat="1">
      <c r="A804" s="119" t="s">
        <v>105</v>
      </c>
      <c r="B804" s="120" t="s">
        <v>135</v>
      </c>
      <c r="C804" s="120" t="s">
        <v>490</v>
      </c>
      <c r="D804" s="120" t="s">
        <v>491</v>
      </c>
      <c r="E804" s="120" t="s">
        <v>686</v>
      </c>
      <c r="F804" s="120" t="s">
        <v>425</v>
      </c>
      <c r="G804" s="121">
        <v>26058.400000000001</v>
      </c>
      <c r="H804" s="134">
        <f t="shared" si="384"/>
        <v>0</v>
      </c>
      <c r="I804" s="121">
        <v>26058.400000000001</v>
      </c>
      <c r="J804" s="121">
        <v>8186.4350000000004</v>
      </c>
      <c r="K804" s="121">
        <v>26058.400000000001</v>
      </c>
      <c r="L804" s="121">
        <f t="shared" si="388"/>
        <v>100</v>
      </c>
    </row>
    <row r="805" spans="1:14" s="184" customFormat="1">
      <c r="A805" s="119" t="s">
        <v>516</v>
      </c>
      <c r="B805" s="120" t="s">
        <v>135</v>
      </c>
      <c r="C805" s="120" t="s">
        <v>490</v>
      </c>
      <c r="D805" s="120" t="s">
        <v>491</v>
      </c>
      <c r="E805" s="120" t="s">
        <v>686</v>
      </c>
      <c r="F805" s="120" t="s">
        <v>517</v>
      </c>
      <c r="G805" s="121">
        <v>894.8</v>
      </c>
      <c r="H805" s="134">
        <f t="shared" si="384"/>
        <v>0</v>
      </c>
      <c r="I805" s="121">
        <v>894.8</v>
      </c>
      <c r="J805" s="121">
        <v>325.97500000000002</v>
      </c>
      <c r="K805" s="121">
        <v>894.8</v>
      </c>
      <c r="L805" s="121">
        <f t="shared" si="388"/>
        <v>100</v>
      </c>
    </row>
    <row r="806" spans="1:14" s="184" customFormat="1">
      <c r="A806" s="171" t="s">
        <v>277</v>
      </c>
      <c r="B806" s="111" t="s">
        <v>135</v>
      </c>
      <c r="C806" s="111" t="s">
        <v>490</v>
      </c>
      <c r="D806" s="111" t="s">
        <v>483</v>
      </c>
      <c r="E806" s="111"/>
      <c r="F806" s="111"/>
      <c r="G806" s="112">
        <f>G807</f>
        <v>101291.4</v>
      </c>
      <c r="H806" s="134">
        <f t="shared" si="384"/>
        <v>-2.4999999994179234E-2</v>
      </c>
      <c r="I806" s="112">
        <f>I807</f>
        <v>101291.375</v>
      </c>
      <c r="J806" s="112">
        <f t="shared" ref="J806:J809" si="408">J807</f>
        <v>78958.953000000009</v>
      </c>
      <c r="K806" s="112">
        <f>K807</f>
        <v>101291.375</v>
      </c>
      <c r="L806" s="112">
        <f t="shared" si="388"/>
        <v>100</v>
      </c>
    </row>
    <row r="807" spans="1:14" s="184" customFormat="1" ht="27">
      <c r="A807" s="123" t="s">
        <v>691</v>
      </c>
      <c r="B807" s="114" t="s">
        <v>135</v>
      </c>
      <c r="C807" s="114" t="s">
        <v>490</v>
      </c>
      <c r="D807" s="114" t="s">
        <v>483</v>
      </c>
      <c r="E807" s="114" t="s">
        <v>162</v>
      </c>
      <c r="F807" s="139"/>
      <c r="G807" s="115">
        <f>G808</f>
        <v>101291.4</v>
      </c>
      <c r="H807" s="134">
        <f t="shared" si="384"/>
        <v>-2.4999999994179234E-2</v>
      </c>
      <c r="I807" s="115">
        <f>I808</f>
        <v>101291.375</v>
      </c>
      <c r="J807" s="115">
        <f t="shared" si="408"/>
        <v>78958.953000000009</v>
      </c>
      <c r="K807" s="115">
        <f>K808</f>
        <v>101291.375</v>
      </c>
      <c r="L807" s="126">
        <f t="shared" si="388"/>
        <v>100</v>
      </c>
    </row>
    <row r="808" spans="1:14" s="184" customFormat="1">
      <c r="A808" s="110" t="s">
        <v>273</v>
      </c>
      <c r="B808" s="111" t="s">
        <v>135</v>
      </c>
      <c r="C808" s="111" t="s">
        <v>490</v>
      </c>
      <c r="D808" s="111" t="s">
        <v>483</v>
      </c>
      <c r="E808" s="111" t="s">
        <v>163</v>
      </c>
      <c r="F808" s="120"/>
      <c r="G808" s="112">
        <f>G809</f>
        <v>101291.4</v>
      </c>
      <c r="H808" s="134">
        <f t="shared" si="384"/>
        <v>-2.4999999994179234E-2</v>
      </c>
      <c r="I808" s="112">
        <f>I809</f>
        <v>101291.375</v>
      </c>
      <c r="J808" s="112">
        <f t="shared" si="408"/>
        <v>78958.953000000009</v>
      </c>
      <c r="K808" s="112">
        <f>K809</f>
        <v>101291.375</v>
      </c>
      <c r="L808" s="112">
        <f t="shared" si="388"/>
        <v>100</v>
      </c>
    </row>
    <row r="809" spans="1:14" s="184" customFormat="1" ht="24">
      <c r="A809" s="124" t="s">
        <v>278</v>
      </c>
      <c r="B809" s="125" t="s">
        <v>135</v>
      </c>
      <c r="C809" s="125" t="s">
        <v>490</v>
      </c>
      <c r="D809" s="125" t="s">
        <v>483</v>
      </c>
      <c r="E809" s="125" t="s">
        <v>169</v>
      </c>
      <c r="F809" s="125"/>
      <c r="G809" s="126">
        <f>G810</f>
        <v>101291.4</v>
      </c>
      <c r="H809" s="134">
        <f t="shared" si="384"/>
        <v>-2.4999999994179234E-2</v>
      </c>
      <c r="I809" s="126">
        <f>I810</f>
        <v>101291.375</v>
      </c>
      <c r="J809" s="126">
        <f t="shared" si="408"/>
        <v>78958.953000000009</v>
      </c>
      <c r="K809" s="126">
        <f>K810</f>
        <v>101291.375</v>
      </c>
      <c r="L809" s="126">
        <f t="shared" si="388"/>
        <v>100</v>
      </c>
    </row>
    <row r="810" spans="1:14" s="184" customFormat="1" ht="24">
      <c r="A810" s="119" t="s">
        <v>104</v>
      </c>
      <c r="B810" s="120" t="s">
        <v>135</v>
      </c>
      <c r="C810" s="120" t="s">
        <v>490</v>
      </c>
      <c r="D810" s="120" t="s">
        <v>483</v>
      </c>
      <c r="E810" s="120" t="s">
        <v>683</v>
      </c>
      <c r="F810" s="120" t="s">
        <v>408</v>
      </c>
      <c r="G810" s="121">
        <f>G811+G812</f>
        <v>101291.4</v>
      </c>
      <c r="H810" s="134">
        <f t="shared" si="384"/>
        <v>-2.4999999994179234E-2</v>
      </c>
      <c r="I810" s="121">
        <f>I811+I812</f>
        <v>101291.375</v>
      </c>
      <c r="J810" s="121">
        <f t="shared" ref="J810" si="409">J811+J812</f>
        <v>78958.953000000009</v>
      </c>
      <c r="K810" s="121">
        <f>K811+K812</f>
        <v>101291.375</v>
      </c>
      <c r="L810" s="121">
        <f t="shared" si="388"/>
        <v>100</v>
      </c>
      <c r="N810" s="255"/>
    </row>
    <row r="811" spans="1:14" s="184" customFormat="1">
      <c r="A811" s="119" t="s">
        <v>105</v>
      </c>
      <c r="B811" s="130">
        <v>612</v>
      </c>
      <c r="C811" s="120" t="s">
        <v>490</v>
      </c>
      <c r="D811" s="120" t="s">
        <v>483</v>
      </c>
      <c r="E811" s="120" t="s">
        <v>683</v>
      </c>
      <c r="F811" s="120" t="s">
        <v>425</v>
      </c>
      <c r="G811" s="121">
        <v>3223.9</v>
      </c>
      <c r="H811" s="134">
        <f t="shared" si="384"/>
        <v>6.4499999998588464E-3</v>
      </c>
      <c r="I811" s="121">
        <v>3223.9064499999999</v>
      </c>
      <c r="J811" s="121">
        <v>2199.0700000000002</v>
      </c>
      <c r="K811" s="121">
        <v>3223.9064499999999</v>
      </c>
      <c r="L811" s="121">
        <f t="shared" si="388"/>
        <v>100</v>
      </c>
    </row>
    <row r="812" spans="1:14" s="184" customFormat="1">
      <c r="A812" s="119" t="s">
        <v>516</v>
      </c>
      <c r="B812" s="130">
        <v>612</v>
      </c>
      <c r="C812" s="120" t="s">
        <v>490</v>
      </c>
      <c r="D812" s="120" t="s">
        <v>483</v>
      </c>
      <c r="E812" s="120" t="s">
        <v>683</v>
      </c>
      <c r="F812" s="120" t="s">
        <v>517</v>
      </c>
      <c r="G812" s="121">
        <v>98067.5</v>
      </c>
      <c r="H812" s="134">
        <f t="shared" si="384"/>
        <v>-3.1449999994947575E-2</v>
      </c>
      <c r="I812" s="121">
        <v>98067.468550000005</v>
      </c>
      <c r="J812" s="121">
        <v>76759.883000000002</v>
      </c>
      <c r="K812" s="121">
        <v>98067.468550000005</v>
      </c>
      <c r="L812" s="121">
        <f t="shared" si="388"/>
        <v>100</v>
      </c>
    </row>
    <row r="813" spans="1:14" s="184" customFormat="1">
      <c r="A813" s="110" t="s">
        <v>384</v>
      </c>
      <c r="B813" s="111" t="s">
        <v>135</v>
      </c>
      <c r="C813" s="111" t="s">
        <v>490</v>
      </c>
      <c r="D813" s="111" t="s">
        <v>490</v>
      </c>
      <c r="E813" s="111"/>
      <c r="F813" s="111"/>
      <c r="G813" s="112">
        <f t="shared" ref="G813:K817" si="410">G814</f>
        <v>375</v>
      </c>
      <c r="H813" s="134">
        <f t="shared" si="384"/>
        <v>-70.352750000000015</v>
      </c>
      <c r="I813" s="112">
        <f t="shared" si="410"/>
        <v>304.64724999999999</v>
      </c>
      <c r="J813" s="134">
        <f t="shared" si="410"/>
        <v>0</v>
      </c>
      <c r="K813" s="112">
        <f t="shared" si="410"/>
        <v>304.64724999999999</v>
      </c>
      <c r="L813" s="112">
        <f t="shared" si="388"/>
        <v>100</v>
      </c>
    </row>
    <row r="814" spans="1:14" s="184" customFormat="1">
      <c r="A814" s="145" t="s">
        <v>74</v>
      </c>
      <c r="B814" s="125" t="s">
        <v>135</v>
      </c>
      <c r="C814" s="125" t="s">
        <v>490</v>
      </c>
      <c r="D814" s="125" t="s">
        <v>490</v>
      </c>
      <c r="E814" s="125" t="s">
        <v>214</v>
      </c>
      <c r="F814" s="125"/>
      <c r="G814" s="126">
        <f t="shared" si="410"/>
        <v>375</v>
      </c>
      <c r="H814" s="134">
        <f t="shared" si="384"/>
        <v>-70.352750000000015</v>
      </c>
      <c r="I814" s="126">
        <f t="shared" si="410"/>
        <v>304.64724999999999</v>
      </c>
      <c r="J814" s="136">
        <f t="shared" si="410"/>
        <v>0</v>
      </c>
      <c r="K814" s="126">
        <f t="shared" si="410"/>
        <v>304.64724999999999</v>
      </c>
      <c r="L814" s="126">
        <f t="shared" si="388"/>
        <v>100</v>
      </c>
    </row>
    <row r="815" spans="1:14" s="184" customFormat="1">
      <c r="A815" s="127" t="s">
        <v>304</v>
      </c>
      <c r="B815" s="111" t="s">
        <v>135</v>
      </c>
      <c r="C815" s="111" t="s">
        <v>490</v>
      </c>
      <c r="D815" s="111" t="s">
        <v>490</v>
      </c>
      <c r="E815" s="111" t="s">
        <v>215</v>
      </c>
      <c r="F815" s="111"/>
      <c r="G815" s="112">
        <f t="shared" si="410"/>
        <v>375</v>
      </c>
      <c r="H815" s="134">
        <f t="shared" si="384"/>
        <v>-70.352750000000015</v>
      </c>
      <c r="I815" s="112">
        <f t="shared" si="410"/>
        <v>304.64724999999999</v>
      </c>
      <c r="J815" s="134">
        <f t="shared" si="410"/>
        <v>0</v>
      </c>
      <c r="K815" s="112">
        <f t="shared" si="410"/>
        <v>304.64724999999999</v>
      </c>
      <c r="L815" s="112">
        <f t="shared" si="388"/>
        <v>100</v>
      </c>
    </row>
    <row r="816" spans="1:14" s="184" customFormat="1">
      <c r="A816" s="145" t="s">
        <v>323</v>
      </c>
      <c r="B816" s="125" t="s">
        <v>135</v>
      </c>
      <c r="C816" s="125" t="s">
        <v>490</v>
      </c>
      <c r="D816" s="125" t="s">
        <v>490</v>
      </c>
      <c r="E816" s="125" t="s">
        <v>347</v>
      </c>
      <c r="F816" s="125"/>
      <c r="G816" s="126">
        <f t="shared" si="410"/>
        <v>375</v>
      </c>
      <c r="H816" s="134">
        <f t="shared" si="384"/>
        <v>-70.352750000000015</v>
      </c>
      <c r="I816" s="126">
        <f t="shared" si="410"/>
        <v>304.64724999999999</v>
      </c>
      <c r="J816" s="136">
        <f t="shared" si="410"/>
        <v>0</v>
      </c>
      <c r="K816" s="126">
        <f t="shared" si="410"/>
        <v>304.64724999999999</v>
      </c>
      <c r="L816" s="126">
        <f t="shared" si="388"/>
        <v>100</v>
      </c>
    </row>
    <row r="817" spans="1:12" s="184" customFormat="1" ht="24">
      <c r="A817" s="119" t="s">
        <v>104</v>
      </c>
      <c r="B817" s="120" t="s">
        <v>135</v>
      </c>
      <c r="C817" s="120" t="s">
        <v>490</v>
      </c>
      <c r="D817" s="120" t="s">
        <v>490</v>
      </c>
      <c r="E817" s="120" t="s">
        <v>347</v>
      </c>
      <c r="F817" s="120" t="s">
        <v>408</v>
      </c>
      <c r="G817" s="121">
        <f t="shared" si="410"/>
        <v>375</v>
      </c>
      <c r="H817" s="134">
        <f t="shared" si="384"/>
        <v>-70.352750000000015</v>
      </c>
      <c r="I817" s="121">
        <f t="shared" si="410"/>
        <v>304.64724999999999</v>
      </c>
      <c r="J817" s="135">
        <f t="shared" si="410"/>
        <v>0</v>
      </c>
      <c r="K817" s="121">
        <f t="shared" si="410"/>
        <v>304.64724999999999</v>
      </c>
      <c r="L817" s="121">
        <f t="shared" si="388"/>
        <v>100</v>
      </c>
    </row>
    <row r="818" spans="1:12" s="184" customFormat="1">
      <c r="A818" s="119" t="s">
        <v>105</v>
      </c>
      <c r="B818" s="120" t="s">
        <v>135</v>
      </c>
      <c r="C818" s="120" t="s">
        <v>490</v>
      </c>
      <c r="D818" s="120" t="s">
        <v>490</v>
      </c>
      <c r="E818" s="120" t="s">
        <v>347</v>
      </c>
      <c r="F818" s="120" t="s">
        <v>425</v>
      </c>
      <c r="G818" s="121">
        <v>375</v>
      </c>
      <c r="H818" s="134">
        <f t="shared" si="384"/>
        <v>-70.352750000000015</v>
      </c>
      <c r="I818" s="121">
        <v>304.64724999999999</v>
      </c>
      <c r="J818" s="135">
        <v>0</v>
      </c>
      <c r="K818" s="121">
        <v>304.64724999999999</v>
      </c>
      <c r="L818" s="121">
        <f t="shared" si="388"/>
        <v>100</v>
      </c>
    </row>
    <row r="819" spans="1:12" s="184" customFormat="1">
      <c r="A819" s="110" t="s">
        <v>385</v>
      </c>
      <c r="B819" s="111" t="s">
        <v>135</v>
      </c>
      <c r="C819" s="111" t="s">
        <v>490</v>
      </c>
      <c r="D819" s="111" t="s">
        <v>484</v>
      </c>
      <c r="E819" s="111"/>
      <c r="F819" s="120"/>
      <c r="G819" s="112">
        <f>G820</f>
        <v>102643.2</v>
      </c>
      <c r="H819" s="134">
        <f t="shared" si="384"/>
        <v>14500</v>
      </c>
      <c r="I819" s="112">
        <f>I820</f>
        <v>117143.2</v>
      </c>
      <c r="J819" s="112">
        <f t="shared" ref="J819" si="411">J820</f>
        <v>90495.735799999995</v>
      </c>
      <c r="K819" s="112">
        <f>K820</f>
        <v>117143.2</v>
      </c>
      <c r="L819" s="112">
        <f t="shared" si="388"/>
        <v>100</v>
      </c>
    </row>
    <row r="820" spans="1:12" s="184" customFormat="1" ht="27">
      <c r="A820" s="123" t="s">
        <v>691</v>
      </c>
      <c r="B820" s="114" t="s">
        <v>135</v>
      </c>
      <c r="C820" s="114" t="s">
        <v>490</v>
      </c>
      <c r="D820" s="114" t="s">
        <v>484</v>
      </c>
      <c r="E820" s="114" t="s">
        <v>162</v>
      </c>
      <c r="F820" s="120"/>
      <c r="G820" s="115">
        <f>G821+G830+G851</f>
        <v>102643.2</v>
      </c>
      <c r="H820" s="134">
        <f t="shared" si="384"/>
        <v>14500</v>
      </c>
      <c r="I820" s="115">
        <f>I821+I830+I851</f>
        <v>117143.2</v>
      </c>
      <c r="J820" s="115">
        <f t="shared" ref="J820" si="412">J821+J830+J851</f>
        <v>90495.735799999995</v>
      </c>
      <c r="K820" s="115">
        <f>K821+K830+K851</f>
        <v>117143.2</v>
      </c>
      <c r="L820" s="126">
        <f t="shared" si="388"/>
        <v>100</v>
      </c>
    </row>
    <row r="821" spans="1:12" s="184" customFormat="1">
      <c r="A821" s="110" t="s">
        <v>273</v>
      </c>
      <c r="B821" s="111" t="s">
        <v>135</v>
      </c>
      <c r="C821" s="111" t="s">
        <v>490</v>
      </c>
      <c r="D821" s="111" t="s">
        <v>484</v>
      </c>
      <c r="E821" s="111" t="s">
        <v>163</v>
      </c>
      <c r="F821" s="111"/>
      <c r="G821" s="112">
        <f>G822+G826</f>
        <v>86451.199999999997</v>
      </c>
      <c r="H821" s="134">
        <f t="shared" si="384"/>
        <v>14500</v>
      </c>
      <c r="I821" s="112">
        <f>I822+I826</f>
        <v>100951.2</v>
      </c>
      <c r="J821" s="112">
        <f t="shared" ref="J821" si="413">J822+J826</f>
        <v>78434.690999999992</v>
      </c>
      <c r="K821" s="112">
        <f>K822+K826</f>
        <v>100951.2</v>
      </c>
      <c r="L821" s="112">
        <f t="shared" si="388"/>
        <v>100</v>
      </c>
    </row>
    <row r="822" spans="1:12" s="184" customFormat="1" ht="24">
      <c r="A822" s="124" t="s">
        <v>280</v>
      </c>
      <c r="B822" s="125" t="s">
        <v>135</v>
      </c>
      <c r="C822" s="125" t="s">
        <v>490</v>
      </c>
      <c r="D822" s="125" t="s">
        <v>484</v>
      </c>
      <c r="E822" s="125" t="s">
        <v>279</v>
      </c>
      <c r="F822" s="125"/>
      <c r="G822" s="126">
        <f>G823</f>
        <v>9279.2000000000007</v>
      </c>
      <c r="H822" s="134">
        <f t="shared" si="384"/>
        <v>14500</v>
      </c>
      <c r="I822" s="126">
        <f>I823</f>
        <v>23779.200000000001</v>
      </c>
      <c r="J822" s="126">
        <f t="shared" ref="J822" si="414">J823</f>
        <v>18592.86</v>
      </c>
      <c r="K822" s="126">
        <f>K823</f>
        <v>23779.200000000001</v>
      </c>
      <c r="L822" s="126">
        <f t="shared" si="388"/>
        <v>100</v>
      </c>
    </row>
    <row r="823" spans="1:12" s="184" customFormat="1" ht="24">
      <c r="A823" s="119" t="s">
        <v>104</v>
      </c>
      <c r="B823" s="120" t="s">
        <v>135</v>
      </c>
      <c r="C823" s="120" t="s">
        <v>490</v>
      </c>
      <c r="D823" s="120" t="s">
        <v>484</v>
      </c>
      <c r="E823" s="120" t="s">
        <v>684</v>
      </c>
      <c r="F823" s="120" t="s">
        <v>408</v>
      </c>
      <c r="G823" s="121">
        <f>G824</f>
        <v>9279.2000000000007</v>
      </c>
      <c r="H823" s="134">
        <f t="shared" si="384"/>
        <v>14500</v>
      </c>
      <c r="I823" s="121">
        <f>I824+I825</f>
        <v>23779.200000000001</v>
      </c>
      <c r="J823" s="121">
        <f t="shared" ref="J823" si="415">J824+J825</f>
        <v>18592.86</v>
      </c>
      <c r="K823" s="121">
        <f>K824+K825</f>
        <v>23779.200000000001</v>
      </c>
      <c r="L823" s="121">
        <f t="shared" si="388"/>
        <v>100</v>
      </c>
    </row>
    <row r="824" spans="1:12" s="184" customFormat="1">
      <c r="A824" s="119" t="s">
        <v>105</v>
      </c>
      <c r="B824" s="130">
        <v>612</v>
      </c>
      <c r="C824" s="120" t="s">
        <v>490</v>
      </c>
      <c r="D824" s="120" t="s">
        <v>484</v>
      </c>
      <c r="E824" s="120" t="s">
        <v>684</v>
      </c>
      <c r="F824" s="120" t="s">
        <v>425</v>
      </c>
      <c r="G824" s="121">
        <v>9279.2000000000007</v>
      </c>
      <c r="H824" s="134">
        <f t="shared" si="384"/>
        <v>12706.901000000002</v>
      </c>
      <c r="I824" s="121">
        <f>9279.2-1000+14200-493.099</f>
        <v>21986.101000000002</v>
      </c>
      <c r="J824" s="121">
        <v>16885.012999999999</v>
      </c>
      <c r="K824" s="121">
        <f>9279.2-1000+14200-493.099</f>
        <v>21986.101000000002</v>
      </c>
      <c r="L824" s="121">
        <f t="shared" si="388"/>
        <v>100</v>
      </c>
    </row>
    <row r="825" spans="1:12" s="184" customFormat="1">
      <c r="A825" s="119" t="s">
        <v>516</v>
      </c>
      <c r="B825" s="130">
        <v>612</v>
      </c>
      <c r="C825" s="120" t="s">
        <v>490</v>
      </c>
      <c r="D825" s="120" t="s">
        <v>484</v>
      </c>
      <c r="E825" s="120" t="s">
        <v>684</v>
      </c>
      <c r="F825" s="120" t="s">
        <v>517</v>
      </c>
      <c r="G825" s="121"/>
      <c r="H825" s="134"/>
      <c r="I825" s="121">
        <f>1000+300+493.099</f>
        <v>1793.0989999999999</v>
      </c>
      <c r="J825" s="121">
        <v>1707.847</v>
      </c>
      <c r="K825" s="121">
        <f>1000+300+493.099</f>
        <v>1793.0989999999999</v>
      </c>
      <c r="L825" s="121">
        <f t="shared" si="388"/>
        <v>100</v>
      </c>
    </row>
    <row r="826" spans="1:12" s="184" customFormat="1" ht="24">
      <c r="A826" s="124" t="s">
        <v>287</v>
      </c>
      <c r="B826" s="160">
        <v>612</v>
      </c>
      <c r="C826" s="139" t="s">
        <v>490</v>
      </c>
      <c r="D826" s="139" t="s">
        <v>484</v>
      </c>
      <c r="E826" s="125" t="s">
        <v>281</v>
      </c>
      <c r="F826" s="125"/>
      <c r="G826" s="126">
        <f>G827</f>
        <v>77172</v>
      </c>
      <c r="H826" s="134">
        <f t="shared" si="384"/>
        <v>0</v>
      </c>
      <c r="I826" s="126">
        <f>I827</f>
        <v>77172</v>
      </c>
      <c r="J826" s="126">
        <f t="shared" ref="J826" si="416">J827</f>
        <v>59841.830999999998</v>
      </c>
      <c r="K826" s="126">
        <f>K827</f>
        <v>77172</v>
      </c>
      <c r="L826" s="126">
        <f t="shared" si="388"/>
        <v>100</v>
      </c>
    </row>
    <row r="827" spans="1:12" s="184" customFormat="1" ht="24">
      <c r="A827" s="119" t="s">
        <v>104</v>
      </c>
      <c r="B827" s="120" t="s">
        <v>135</v>
      </c>
      <c r="C827" s="120" t="s">
        <v>490</v>
      </c>
      <c r="D827" s="120" t="s">
        <v>484</v>
      </c>
      <c r="E827" s="120" t="s">
        <v>685</v>
      </c>
      <c r="F827" s="120" t="s">
        <v>408</v>
      </c>
      <c r="G827" s="121">
        <f>G828+G829</f>
        <v>77172</v>
      </c>
      <c r="H827" s="134">
        <f t="shared" si="384"/>
        <v>0</v>
      </c>
      <c r="I827" s="121">
        <f>I828+I829</f>
        <v>77172</v>
      </c>
      <c r="J827" s="121">
        <f t="shared" ref="J827" si="417">J828+J829</f>
        <v>59841.830999999998</v>
      </c>
      <c r="K827" s="121">
        <f>K828+K829</f>
        <v>77172</v>
      </c>
      <c r="L827" s="121">
        <f t="shared" si="388"/>
        <v>100</v>
      </c>
    </row>
    <row r="828" spans="1:12" s="184" customFormat="1">
      <c r="A828" s="119" t="s">
        <v>105</v>
      </c>
      <c r="B828" s="130">
        <v>612</v>
      </c>
      <c r="C828" s="120" t="s">
        <v>490</v>
      </c>
      <c r="D828" s="120" t="s">
        <v>484</v>
      </c>
      <c r="E828" s="120" t="s">
        <v>685</v>
      </c>
      <c r="F828" s="120" t="s">
        <v>425</v>
      </c>
      <c r="G828" s="121">
        <v>68670</v>
      </c>
      <c r="H828" s="134">
        <f t="shared" si="384"/>
        <v>1780.4020000000019</v>
      </c>
      <c r="I828" s="121">
        <f>68670+1241+421.652+117.75</f>
        <v>70450.402000000002</v>
      </c>
      <c r="J828" s="121">
        <v>55060.491999999998</v>
      </c>
      <c r="K828" s="121">
        <f>68670+1241+421.652+117.75</f>
        <v>70450.402000000002</v>
      </c>
      <c r="L828" s="121">
        <f t="shared" si="388"/>
        <v>100</v>
      </c>
    </row>
    <row r="829" spans="1:12" s="184" customFormat="1">
      <c r="A829" s="119" t="s">
        <v>516</v>
      </c>
      <c r="B829" s="130">
        <v>612</v>
      </c>
      <c r="C829" s="120" t="s">
        <v>490</v>
      </c>
      <c r="D829" s="120" t="s">
        <v>484</v>
      </c>
      <c r="E829" s="120" t="s">
        <v>685</v>
      </c>
      <c r="F829" s="120" t="s">
        <v>517</v>
      </c>
      <c r="G829" s="121">
        <v>8502</v>
      </c>
      <c r="H829" s="134">
        <f t="shared" si="384"/>
        <v>-1780.402</v>
      </c>
      <c r="I829" s="121">
        <f>8502-1241-421.652-117.75</f>
        <v>6721.598</v>
      </c>
      <c r="J829" s="121">
        <v>4781.3389999999999</v>
      </c>
      <c r="K829" s="121">
        <f>8502-1241-421.652-117.75</f>
        <v>6721.598</v>
      </c>
      <c r="L829" s="121">
        <f t="shared" si="388"/>
        <v>100</v>
      </c>
    </row>
    <row r="830" spans="1:12" s="184" customFormat="1">
      <c r="A830" s="110" t="s">
        <v>460</v>
      </c>
      <c r="B830" s="111" t="s">
        <v>135</v>
      </c>
      <c r="C830" s="111" t="s">
        <v>490</v>
      </c>
      <c r="D830" s="111" t="s">
        <v>484</v>
      </c>
      <c r="E830" s="111" t="s">
        <v>170</v>
      </c>
      <c r="F830" s="111"/>
      <c r="G830" s="112">
        <f>G831+G839+G844</f>
        <v>6170</v>
      </c>
      <c r="H830" s="134">
        <f t="shared" si="384"/>
        <v>0</v>
      </c>
      <c r="I830" s="112">
        <f>I831+I839+I844</f>
        <v>6170</v>
      </c>
      <c r="J830" s="112">
        <f t="shared" ref="J830" si="418">J831+J839+J844</f>
        <v>4014.1248000000001</v>
      </c>
      <c r="K830" s="112">
        <f>K831+K839+K844</f>
        <v>6170</v>
      </c>
      <c r="L830" s="112">
        <f t="shared" si="388"/>
        <v>100</v>
      </c>
    </row>
    <row r="831" spans="1:12" s="184" customFormat="1" ht="24">
      <c r="A831" s="141" t="s">
        <v>173</v>
      </c>
      <c r="B831" s="111" t="s">
        <v>135</v>
      </c>
      <c r="C831" s="111" t="s">
        <v>490</v>
      </c>
      <c r="D831" s="111" t="s">
        <v>484</v>
      </c>
      <c r="E831" s="111" t="s">
        <v>138</v>
      </c>
      <c r="F831" s="125"/>
      <c r="G831" s="112">
        <f>G832</f>
        <v>3985</v>
      </c>
      <c r="H831" s="134">
        <f t="shared" si="384"/>
        <v>100</v>
      </c>
      <c r="I831" s="112">
        <f>I832</f>
        <v>4085</v>
      </c>
      <c r="J831" s="112">
        <f t="shared" ref="J831" si="419">J832</f>
        <v>3403.6107999999999</v>
      </c>
      <c r="K831" s="112">
        <f>K832</f>
        <v>4085</v>
      </c>
      <c r="L831" s="112">
        <f t="shared" si="388"/>
        <v>100</v>
      </c>
    </row>
    <row r="832" spans="1:12" s="184" customFormat="1" ht="24">
      <c r="A832" s="143" t="s">
        <v>485</v>
      </c>
      <c r="B832" s="160">
        <v>612</v>
      </c>
      <c r="C832" s="139" t="s">
        <v>490</v>
      </c>
      <c r="D832" s="139" t="s">
        <v>484</v>
      </c>
      <c r="E832" s="139" t="s">
        <v>687</v>
      </c>
      <c r="F832" s="139"/>
      <c r="G832" s="144">
        <f>G833+G835+G837</f>
        <v>3985</v>
      </c>
      <c r="H832" s="134">
        <f t="shared" si="384"/>
        <v>100</v>
      </c>
      <c r="I832" s="144">
        <f>I833+I835+I837</f>
        <v>4085</v>
      </c>
      <c r="J832" s="144">
        <f t="shared" ref="J832" si="420">J833+J835+J837</f>
        <v>3403.6107999999999</v>
      </c>
      <c r="K832" s="144">
        <f>K833+K835+K837</f>
        <v>4085</v>
      </c>
      <c r="L832" s="144">
        <f t="shared" ref="L832:L877" si="421">K832/I832*100</f>
        <v>100</v>
      </c>
    </row>
    <row r="833" spans="1:12" s="184" customFormat="1" ht="36">
      <c r="A833" s="119" t="s">
        <v>79</v>
      </c>
      <c r="B833" s="130">
        <v>612</v>
      </c>
      <c r="C833" s="120" t="s">
        <v>490</v>
      </c>
      <c r="D833" s="120" t="s">
        <v>484</v>
      </c>
      <c r="E833" s="120" t="s">
        <v>687</v>
      </c>
      <c r="F833" s="120" t="s">
        <v>80</v>
      </c>
      <c r="G833" s="121">
        <f>G834</f>
        <v>3800</v>
      </c>
      <c r="H833" s="134">
        <f t="shared" si="384"/>
        <v>162.34999999999991</v>
      </c>
      <c r="I833" s="121">
        <f>I834</f>
        <v>3962.35</v>
      </c>
      <c r="J833" s="121">
        <f t="shared" ref="J833" si="422">J834</f>
        <v>3293.777</v>
      </c>
      <c r="K833" s="121">
        <f>K834</f>
        <v>3962.35</v>
      </c>
      <c r="L833" s="121">
        <f t="shared" si="421"/>
        <v>100</v>
      </c>
    </row>
    <row r="834" spans="1:12" s="184" customFormat="1">
      <c r="A834" s="119" t="s">
        <v>486</v>
      </c>
      <c r="B834" s="130">
        <v>612</v>
      </c>
      <c r="C834" s="120" t="s">
        <v>490</v>
      </c>
      <c r="D834" s="120" t="s">
        <v>484</v>
      </c>
      <c r="E834" s="120" t="s">
        <v>687</v>
      </c>
      <c r="F834" s="120" t="s">
        <v>487</v>
      </c>
      <c r="G834" s="121">
        <f>2920+880</f>
        <v>3800</v>
      </c>
      <c r="H834" s="134">
        <f t="shared" si="384"/>
        <v>162.34999999999991</v>
      </c>
      <c r="I834" s="121">
        <f>2920+880+162.35</f>
        <v>3962.35</v>
      </c>
      <c r="J834" s="121">
        <v>3293.777</v>
      </c>
      <c r="K834" s="121">
        <f>2920+880+162.35</f>
        <v>3962.35</v>
      </c>
      <c r="L834" s="121">
        <f t="shared" si="421"/>
        <v>100</v>
      </c>
    </row>
    <row r="835" spans="1:12" s="184" customFormat="1">
      <c r="A835" s="119" t="s">
        <v>301</v>
      </c>
      <c r="B835" s="130">
        <v>612</v>
      </c>
      <c r="C835" s="120" t="s">
        <v>490</v>
      </c>
      <c r="D835" s="120" t="s">
        <v>484</v>
      </c>
      <c r="E835" s="120" t="s">
        <v>687</v>
      </c>
      <c r="F835" s="120" t="s">
        <v>84</v>
      </c>
      <c r="G835" s="121">
        <f>G836</f>
        <v>180</v>
      </c>
      <c r="H835" s="134">
        <f t="shared" si="384"/>
        <v>-62.349999999999994</v>
      </c>
      <c r="I835" s="121">
        <f>I836</f>
        <v>117.65</v>
      </c>
      <c r="J835" s="121">
        <f t="shared" ref="J835" si="423">J836</f>
        <v>109.833</v>
      </c>
      <c r="K835" s="121">
        <f>K836</f>
        <v>117.65</v>
      </c>
      <c r="L835" s="121">
        <f t="shared" si="421"/>
        <v>100</v>
      </c>
    </row>
    <row r="836" spans="1:12" s="184" customFormat="1" ht="24">
      <c r="A836" s="119" t="s">
        <v>85</v>
      </c>
      <c r="B836" s="130">
        <v>612</v>
      </c>
      <c r="C836" s="120" t="s">
        <v>490</v>
      </c>
      <c r="D836" s="120" t="s">
        <v>484</v>
      </c>
      <c r="E836" s="120" t="s">
        <v>687</v>
      </c>
      <c r="F836" s="120" t="s">
        <v>86</v>
      </c>
      <c r="G836" s="121">
        <f>50+80+50</f>
        <v>180</v>
      </c>
      <c r="H836" s="134">
        <f t="shared" si="384"/>
        <v>-62.349999999999994</v>
      </c>
      <c r="I836" s="121">
        <f>50+80+50-42.14-20.21</f>
        <v>117.65</v>
      </c>
      <c r="J836" s="121">
        <v>109.833</v>
      </c>
      <c r="K836" s="121">
        <f>50+80+50-42.14-20.21</f>
        <v>117.65</v>
      </c>
      <c r="L836" s="121">
        <f t="shared" si="421"/>
        <v>100</v>
      </c>
    </row>
    <row r="837" spans="1:12" s="184" customFormat="1">
      <c r="A837" s="119" t="s">
        <v>87</v>
      </c>
      <c r="B837" s="130">
        <v>612</v>
      </c>
      <c r="C837" s="120" t="s">
        <v>490</v>
      </c>
      <c r="D837" s="120" t="s">
        <v>484</v>
      </c>
      <c r="E837" s="120" t="s">
        <v>687</v>
      </c>
      <c r="F837" s="120" t="s">
        <v>88</v>
      </c>
      <c r="G837" s="172">
        <f>G838</f>
        <v>5</v>
      </c>
      <c r="H837" s="134">
        <f t="shared" si="384"/>
        <v>0</v>
      </c>
      <c r="I837" s="172">
        <f>I838</f>
        <v>5</v>
      </c>
      <c r="J837" s="235">
        <f t="shared" ref="J837" si="424">J838</f>
        <v>8.0000000000000004E-4</v>
      </c>
      <c r="K837" s="172">
        <f>K838</f>
        <v>5</v>
      </c>
      <c r="L837" s="121">
        <f t="shared" si="421"/>
        <v>100</v>
      </c>
    </row>
    <row r="838" spans="1:12" s="184" customFormat="1">
      <c r="A838" s="119" t="s">
        <v>155</v>
      </c>
      <c r="B838" s="130">
        <v>612</v>
      </c>
      <c r="C838" s="120" t="s">
        <v>490</v>
      </c>
      <c r="D838" s="120" t="s">
        <v>484</v>
      </c>
      <c r="E838" s="120" t="s">
        <v>687</v>
      </c>
      <c r="F838" s="120" t="s">
        <v>89</v>
      </c>
      <c r="G838" s="172">
        <v>5</v>
      </c>
      <c r="H838" s="134">
        <f t="shared" ref="H838:H900" si="425">I838-G838</f>
        <v>0</v>
      </c>
      <c r="I838" s="172">
        <v>5</v>
      </c>
      <c r="J838" s="235">
        <v>8.0000000000000004E-4</v>
      </c>
      <c r="K838" s="172">
        <v>5</v>
      </c>
      <c r="L838" s="121">
        <f t="shared" si="421"/>
        <v>100</v>
      </c>
    </row>
    <row r="839" spans="1:12" s="184" customFormat="1" ht="36">
      <c r="A839" s="128" t="s">
        <v>288</v>
      </c>
      <c r="B839" s="125" t="s">
        <v>135</v>
      </c>
      <c r="C839" s="125" t="s">
        <v>490</v>
      </c>
      <c r="D839" s="125" t="s">
        <v>484</v>
      </c>
      <c r="E839" s="125" t="s">
        <v>688</v>
      </c>
      <c r="F839" s="125"/>
      <c r="G839" s="126">
        <f>G840+G842</f>
        <v>1635</v>
      </c>
      <c r="H839" s="134">
        <f t="shared" si="425"/>
        <v>-100</v>
      </c>
      <c r="I839" s="126">
        <f>I840+I842</f>
        <v>1535</v>
      </c>
      <c r="J839" s="126">
        <f t="shared" ref="J839" si="426">J840+J842</f>
        <v>408.20400000000001</v>
      </c>
      <c r="K839" s="126">
        <f>K840+K842</f>
        <v>1535</v>
      </c>
      <c r="L839" s="126">
        <f t="shared" si="421"/>
        <v>100</v>
      </c>
    </row>
    <row r="840" spans="1:12" s="184" customFormat="1" ht="36">
      <c r="A840" s="119" t="s">
        <v>79</v>
      </c>
      <c r="B840" s="130">
        <v>612</v>
      </c>
      <c r="C840" s="120" t="s">
        <v>490</v>
      </c>
      <c r="D840" s="120" t="s">
        <v>484</v>
      </c>
      <c r="E840" s="120" t="s">
        <v>688</v>
      </c>
      <c r="F840" s="120" t="s">
        <v>80</v>
      </c>
      <c r="G840" s="121">
        <f>G841</f>
        <v>325</v>
      </c>
      <c r="H840" s="134">
        <f t="shared" si="425"/>
        <v>-325</v>
      </c>
      <c r="I840" s="135">
        <f>I841</f>
        <v>0</v>
      </c>
      <c r="J840" s="135">
        <f t="shared" ref="J840" si="427">J841</f>
        <v>0</v>
      </c>
      <c r="K840" s="135">
        <f>K841</f>
        <v>0</v>
      </c>
      <c r="L840" s="112"/>
    </row>
    <row r="841" spans="1:12" s="184" customFormat="1">
      <c r="A841" s="119" t="s">
        <v>486</v>
      </c>
      <c r="B841" s="130">
        <v>612</v>
      </c>
      <c r="C841" s="120" t="s">
        <v>490</v>
      </c>
      <c r="D841" s="120" t="s">
        <v>484</v>
      </c>
      <c r="E841" s="120" t="s">
        <v>688</v>
      </c>
      <c r="F841" s="120" t="s">
        <v>487</v>
      </c>
      <c r="G841" s="121">
        <v>325</v>
      </c>
      <c r="H841" s="134">
        <f t="shared" si="425"/>
        <v>-325</v>
      </c>
      <c r="I841" s="135">
        <f>325-100-50-175</f>
        <v>0</v>
      </c>
      <c r="J841" s="135">
        <f t="shared" ref="J841" si="428">325-100-50-175</f>
        <v>0</v>
      </c>
      <c r="K841" s="135">
        <f>325-100-50-175</f>
        <v>0</v>
      </c>
      <c r="L841" s="112"/>
    </row>
    <row r="842" spans="1:12" s="184" customFormat="1">
      <c r="A842" s="119" t="s">
        <v>301</v>
      </c>
      <c r="B842" s="130">
        <v>612</v>
      </c>
      <c r="C842" s="120" t="s">
        <v>490</v>
      </c>
      <c r="D842" s="120" t="s">
        <v>484</v>
      </c>
      <c r="E842" s="120" t="s">
        <v>688</v>
      </c>
      <c r="F842" s="120" t="s">
        <v>84</v>
      </c>
      <c r="G842" s="121">
        <f>G843</f>
        <v>1310</v>
      </c>
      <c r="H842" s="134">
        <f t="shared" si="425"/>
        <v>225</v>
      </c>
      <c r="I842" s="121">
        <f>I843</f>
        <v>1535</v>
      </c>
      <c r="J842" s="121">
        <f t="shared" ref="J842" si="429">J843</f>
        <v>408.20400000000001</v>
      </c>
      <c r="K842" s="121">
        <f>K843</f>
        <v>1535</v>
      </c>
      <c r="L842" s="121">
        <f t="shared" si="421"/>
        <v>100</v>
      </c>
    </row>
    <row r="843" spans="1:12" s="184" customFormat="1" ht="24">
      <c r="A843" s="119" t="s">
        <v>85</v>
      </c>
      <c r="B843" s="130">
        <v>612</v>
      </c>
      <c r="C843" s="120" t="s">
        <v>490</v>
      </c>
      <c r="D843" s="120" t="s">
        <v>484</v>
      </c>
      <c r="E843" s="120" t="s">
        <v>688</v>
      </c>
      <c r="F843" s="120" t="s">
        <v>86</v>
      </c>
      <c r="G843" s="121">
        <v>1310</v>
      </c>
      <c r="H843" s="134">
        <f t="shared" si="425"/>
        <v>225</v>
      </c>
      <c r="I843" s="121">
        <f>1310+175+50</f>
        <v>1535</v>
      </c>
      <c r="J843" s="121">
        <v>408.20400000000001</v>
      </c>
      <c r="K843" s="121">
        <f>1310+175+50</f>
        <v>1535</v>
      </c>
      <c r="L843" s="121">
        <f t="shared" si="421"/>
        <v>100</v>
      </c>
    </row>
    <row r="844" spans="1:12" s="184" customFormat="1" ht="48">
      <c r="A844" s="159" t="s">
        <v>458</v>
      </c>
      <c r="B844" s="139" t="s">
        <v>135</v>
      </c>
      <c r="C844" s="139" t="s">
        <v>490</v>
      </c>
      <c r="D844" s="139" t="s">
        <v>484</v>
      </c>
      <c r="E844" s="139" t="s">
        <v>689</v>
      </c>
      <c r="F844" s="139"/>
      <c r="G844" s="144">
        <f>G845+G847+G849</f>
        <v>550</v>
      </c>
      <c r="H844" s="134">
        <f t="shared" si="425"/>
        <v>0</v>
      </c>
      <c r="I844" s="144">
        <f>I845+I847+I849</f>
        <v>550</v>
      </c>
      <c r="J844" s="144">
        <f t="shared" ref="J844" si="430">J845+J847+J849</f>
        <v>202.31</v>
      </c>
      <c r="K844" s="144">
        <f>K845+K847+K849</f>
        <v>550</v>
      </c>
      <c r="L844" s="144">
        <f t="shared" si="421"/>
        <v>100</v>
      </c>
    </row>
    <row r="845" spans="1:12" s="184" customFormat="1" ht="36">
      <c r="A845" s="119" t="s">
        <v>79</v>
      </c>
      <c r="B845" s="130">
        <v>612</v>
      </c>
      <c r="C845" s="120" t="s">
        <v>490</v>
      </c>
      <c r="D845" s="120" t="s">
        <v>484</v>
      </c>
      <c r="E845" s="120" t="s">
        <v>689</v>
      </c>
      <c r="F845" s="120" t="s">
        <v>80</v>
      </c>
      <c r="G845" s="121">
        <f>G846</f>
        <v>155</v>
      </c>
      <c r="H845" s="134">
        <f t="shared" si="425"/>
        <v>-155</v>
      </c>
      <c r="I845" s="135">
        <f>I846</f>
        <v>0</v>
      </c>
      <c r="J845" s="135">
        <f t="shared" ref="J845" si="431">J846</f>
        <v>0</v>
      </c>
      <c r="K845" s="135">
        <f>K846</f>
        <v>0</v>
      </c>
      <c r="L845" s="112"/>
    </row>
    <row r="846" spans="1:12" s="184" customFormat="1">
      <c r="A846" s="119" t="s">
        <v>486</v>
      </c>
      <c r="B846" s="130">
        <v>612</v>
      </c>
      <c r="C846" s="120" t="s">
        <v>490</v>
      </c>
      <c r="D846" s="120" t="s">
        <v>484</v>
      </c>
      <c r="E846" s="120" t="s">
        <v>689</v>
      </c>
      <c r="F846" s="120" t="s">
        <v>487</v>
      </c>
      <c r="G846" s="121">
        <v>155</v>
      </c>
      <c r="H846" s="134">
        <f t="shared" si="425"/>
        <v>-155</v>
      </c>
      <c r="I846" s="135">
        <f>155-25-130</f>
        <v>0</v>
      </c>
      <c r="J846" s="135">
        <f t="shared" ref="J846" si="432">155-25-130</f>
        <v>0</v>
      </c>
      <c r="K846" s="135">
        <f>155-25-130</f>
        <v>0</v>
      </c>
      <c r="L846" s="112"/>
    </row>
    <row r="847" spans="1:12" s="184" customFormat="1">
      <c r="A847" s="119" t="s">
        <v>301</v>
      </c>
      <c r="B847" s="130">
        <v>612</v>
      </c>
      <c r="C847" s="120" t="s">
        <v>490</v>
      </c>
      <c r="D847" s="120" t="s">
        <v>484</v>
      </c>
      <c r="E847" s="120" t="s">
        <v>689</v>
      </c>
      <c r="F847" s="120" t="s">
        <v>84</v>
      </c>
      <c r="G847" s="121">
        <f>G848</f>
        <v>205</v>
      </c>
      <c r="H847" s="134">
        <f t="shared" si="425"/>
        <v>155</v>
      </c>
      <c r="I847" s="121">
        <f>I848</f>
        <v>360</v>
      </c>
      <c r="J847" s="121">
        <f t="shared" ref="J847" si="433">J848</f>
        <v>202.31</v>
      </c>
      <c r="K847" s="121">
        <f>K848</f>
        <v>360</v>
      </c>
      <c r="L847" s="121">
        <f t="shared" si="421"/>
        <v>100</v>
      </c>
    </row>
    <row r="848" spans="1:12" s="184" customFormat="1" ht="24">
      <c r="A848" s="119" t="s">
        <v>85</v>
      </c>
      <c r="B848" s="130">
        <v>612</v>
      </c>
      <c r="C848" s="120" t="s">
        <v>490</v>
      </c>
      <c r="D848" s="120" t="s">
        <v>484</v>
      </c>
      <c r="E848" s="120" t="s">
        <v>689</v>
      </c>
      <c r="F848" s="120" t="s">
        <v>86</v>
      </c>
      <c r="G848" s="121">
        <v>205</v>
      </c>
      <c r="H848" s="134">
        <f t="shared" si="425"/>
        <v>155</v>
      </c>
      <c r="I848" s="121">
        <f>205+25+130</f>
        <v>360</v>
      </c>
      <c r="J848" s="121">
        <v>202.31</v>
      </c>
      <c r="K848" s="121">
        <f>205+25+130</f>
        <v>360</v>
      </c>
      <c r="L848" s="121">
        <f t="shared" si="421"/>
        <v>100</v>
      </c>
    </row>
    <row r="849" spans="1:12" s="184" customFormat="1">
      <c r="A849" s="119" t="s">
        <v>95</v>
      </c>
      <c r="B849" s="130">
        <v>612</v>
      </c>
      <c r="C849" s="120" t="s">
        <v>490</v>
      </c>
      <c r="D849" s="120" t="s">
        <v>484</v>
      </c>
      <c r="E849" s="120" t="s">
        <v>689</v>
      </c>
      <c r="F849" s="120" t="s">
        <v>94</v>
      </c>
      <c r="G849" s="121">
        <f>G850</f>
        <v>190</v>
      </c>
      <c r="H849" s="134">
        <f t="shared" si="425"/>
        <v>0</v>
      </c>
      <c r="I849" s="121">
        <f>I850</f>
        <v>190</v>
      </c>
      <c r="J849" s="135">
        <f t="shared" ref="J849" si="434">J850</f>
        <v>0</v>
      </c>
      <c r="K849" s="121">
        <f>K850</f>
        <v>190</v>
      </c>
      <c r="L849" s="121">
        <f t="shared" si="421"/>
        <v>100</v>
      </c>
    </row>
    <row r="850" spans="1:12" s="184" customFormat="1">
      <c r="A850" s="119" t="s">
        <v>698</v>
      </c>
      <c r="B850" s="130">
        <v>612</v>
      </c>
      <c r="C850" s="120" t="s">
        <v>490</v>
      </c>
      <c r="D850" s="120" t="s">
        <v>484</v>
      </c>
      <c r="E850" s="120" t="s">
        <v>689</v>
      </c>
      <c r="F850" s="120" t="s">
        <v>680</v>
      </c>
      <c r="G850" s="121">
        <v>190</v>
      </c>
      <c r="H850" s="134">
        <f t="shared" si="425"/>
        <v>0</v>
      </c>
      <c r="I850" s="121">
        <v>190</v>
      </c>
      <c r="J850" s="135">
        <v>0</v>
      </c>
      <c r="K850" s="121">
        <v>190</v>
      </c>
      <c r="L850" s="121">
        <f t="shared" si="421"/>
        <v>100</v>
      </c>
    </row>
    <row r="851" spans="1:12" s="184" customFormat="1" ht="36">
      <c r="A851" s="141" t="s">
        <v>697</v>
      </c>
      <c r="B851" s="142">
        <v>612</v>
      </c>
      <c r="C851" s="111" t="s">
        <v>490</v>
      </c>
      <c r="D851" s="111" t="s">
        <v>484</v>
      </c>
      <c r="E851" s="111" t="s">
        <v>172</v>
      </c>
      <c r="F851" s="111"/>
      <c r="G851" s="112">
        <f>G852</f>
        <v>10022</v>
      </c>
      <c r="H851" s="134">
        <f t="shared" si="425"/>
        <v>0</v>
      </c>
      <c r="I851" s="112">
        <f>I852</f>
        <v>10022</v>
      </c>
      <c r="J851" s="112">
        <f t="shared" ref="J851:J852" si="435">J852</f>
        <v>8046.92</v>
      </c>
      <c r="K851" s="112">
        <f>K852</f>
        <v>10022</v>
      </c>
      <c r="L851" s="112">
        <f t="shared" si="421"/>
        <v>100</v>
      </c>
    </row>
    <row r="852" spans="1:12" s="184" customFormat="1" ht="25.5">
      <c r="A852" s="173" t="s">
        <v>177</v>
      </c>
      <c r="B852" s="142">
        <v>612</v>
      </c>
      <c r="C852" s="111" t="s">
        <v>490</v>
      </c>
      <c r="D852" s="111" t="s">
        <v>484</v>
      </c>
      <c r="E852" s="111" t="s">
        <v>172</v>
      </c>
      <c r="F852" s="111"/>
      <c r="G852" s="112">
        <f>G853</f>
        <v>10022</v>
      </c>
      <c r="H852" s="134">
        <f t="shared" si="425"/>
        <v>0</v>
      </c>
      <c r="I852" s="112">
        <f>I853</f>
        <v>10022</v>
      </c>
      <c r="J852" s="112">
        <f t="shared" si="435"/>
        <v>8046.92</v>
      </c>
      <c r="K852" s="112">
        <f>K853</f>
        <v>10022</v>
      </c>
      <c r="L852" s="112">
        <f t="shared" si="421"/>
        <v>100</v>
      </c>
    </row>
    <row r="853" spans="1:12" s="184" customFormat="1" ht="36">
      <c r="A853" s="124" t="s">
        <v>410</v>
      </c>
      <c r="B853" s="125" t="s">
        <v>135</v>
      </c>
      <c r="C853" s="125" t="s">
        <v>490</v>
      </c>
      <c r="D853" s="125" t="s">
        <v>484</v>
      </c>
      <c r="E853" s="125" t="s">
        <v>172</v>
      </c>
      <c r="F853" s="125"/>
      <c r="G853" s="126">
        <f>G854+G857</f>
        <v>10022</v>
      </c>
      <c r="H853" s="134">
        <f t="shared" si="425"/>
        <v>0</v>
      </c>
      <c r="I853" s="126">
        <f>I854+I857</f>
        <v>10022</v>
      </c>
      <c r="J853" s="126">
        <f t="shared" ref="J853" si="436">J854+J857</f>
        <v>8046.92</v>
      </c>
      <c r="K853" s="126">
        <f>K854+K857</f>
        <v>10022</v>
      </c>
      <c r="L853" s="126">
        <f t="shared" si="421"/>
        <v>100</v>
      </c>
    </row>
    <row r="854" spans="1:12" s="184" customFormat="1" ht="24">
      <c r="A854" s="127" t="s">
        <v>392</v>
      </c>
      <c r="B854" s="111" t="s">
        <v>135</v>
      </c>
      <c r="C854" s="111" t="s">
        <v>490</v>
      </c>
      <c r="D854" s="111" t="s">
        <v>484</v>
      </c>
      <c r="E854" s="111" t="s">
        <v>292</v>
      </c>
      <c r="F854" s="111"/>
      <c r="G854" s="112">
        <f>G855</f>
        <v>9500</v>
      </c>
      <c r="H854" s="134">
        <f t="shared" si="425"/>
        <v>0</v>
      </c>
      <c r="I854" s="112">
        <f>I855</f>
        <v>9500</v>
      </c>
      <c r="J854" s="112">
        <f t="shared" ref="J854:J855" si="437">J855</f>
        <v>7687.6949999999997</v>
      </c>
      <c r="K854" s="112">
        <f>K855</f>
        <v>9500</v>
      </c>
      <c r="L854" s="112">
        <f t="shared" si="421"/>
        <v>100</v>
      </c>
    </row>
    <row r="855" spans="1:12" s="184" customFormat="1" ht="36">
      <c r="A855" s="119" t="s">
        <v>79</v>
      </c>
      <c r="B855" s="120" t="s">
        <v>135</v>
      </c>
      <c r="C855" s="120" t="s">
        <v>490</v>
      </c>
      <c r="D855" s="120" t="s">
        <v>484</v>
      </c>
      <c r="E855" s="120" t="s">
        <v>292</v>
      </c>
      <c r="F855" s="120" t="s">
        <v>80</v>
      </c>
      <c r="G855" s="121">
        <f>G856</f>
        <v>9500</v>
      </c>
      <c r="H855" s="134">
        <f t="shared" si="425"/>
        <v>0</v>
      </c>
      <c r="I855" s="121">
        <f>I856</f>
        <v>9500</v>
      </c>
      <c r="J855" s="121">
        <f t="shared" si="437"/>
        <v>7687.6949999999997</v>
      </c>
      <c r="K855" s="121">
        <f>K856</f>
        <v>9500</v>
      </c>
      <c r="L855" s="121">
        <f t="shared" si="421"/>
        <v>100</v>
      </c>
    </row>
    <row r="856" spans="1:12" s="184" customFormat="1">
      <c r="A856" s="119" t="s">
        <v>81</v>
      </c>
      <c r="B856" s="120" t="s">
        <v>135</v>
      </c>
      <c r="C856" s="120" t="s">
        <v>490</v>
      </c>
      <c r="D856" s="120" t="s">
        <v>484</v>
      </c>
      <c r="E856" s="120" t="s">
        <v>292</v>
      </c>
      <c r="F856" s="120" t="s">
        <v>82</v>
      </c>
      <c r="G856" s="121">
        <f>7300+2200</f>
        <v>9500</v>
      </c>
      <c r="H856" s="134">
        <f t="shared" si="425"/>
        <v>0</v>
      </c>
      <c r="I856" s="121">
        <f>7300+2200</f>
        <v>9500</v>
      </c>
      <c r="J856" s="121">
        <v>7687.6949999999997</v>
      </c>
      <c r="K856" s="121">
        <f>7300+2200</f>
        <v>9500</v>
      </c>
      <c r="L856" s="121">
        <f t="shared" si="421"/>
        <v>100</v>
      </c>
    </row>
    <row r="857" spans="1:12" s="184" customFormat="1">
      <c r="A857" s="110" t="s">
        <v>83</v>
      </c>
      <c r="B857" s="111" t="s">
        <v>135</v>
      </c>
      <c r="C857" s="111" t="s">
        <v>490</v>
      </c>
      <c r="D857" s="111" t="s">
        <v>484</v>
      </c>
      <c r="E857" s="111" t="s">
        <v>293</v>
      </c>
      <c r="F857" s="111"/>
      <c r="G857" s="112">
        <f>G858+G860</f>
        <v>522</v>
      </c>
      <c r="H857" s="134">
        <f t="shared" si="425"/>
        <v>0</v>
      </c>
      <c r="I857" s="112">
        <f>I858+I860</f>
        <v>522</v>
      </c>
      <c r="J857" s="112">
        <f t="shared" ref="J857" si="438">J858+J860</f>
        <v>359.22500000000002</v>
      </c>
      <c r="K857" s="112">
        <f>K858+K860</f>
        <v>522</v>
      </c>
      <c r="L857" s="112">
        <f t="shared" si="421"/>
        <v>100</v>
      </c>
    </row>
    <row r="858" spans="1:12" s="184" customFormat="1">
      <c r="A858" s="119" t="s">
        <v>301</v>
      </c>
      <c r="B858" s="120" t="s">
        <v>135</v>
      </c>
      <c r="C858" s="120" t="s">
        <v>490</v>
      </c>
      <c r="D858" s="120" t="s">
        <v>484</v>
      </c>
      <c r="E858" s="120" t="s">
        <v>293</v>
      </c>
      <c r="F858" s="120" t="s">
        <v>84</v>
      </c>
      <c r="G858" s="121">
        <f>G859</f>
        <v>507</v>
      </c>
      <c r="H858" s="134">
        <f t="shared" si="425"/>
        <v>0</v>
      </c>
      <c r="I858" s="121">
        <f>I859</f>
        <v>507</v>
      </c>
      <c r="J858" s="121">
        <f t="shared" ref="J858" si="439">J859</f>
        <v>359.22500000000002</v>
      </c>
      <c r="K858" s="121">
        <f>K859</f>
        <v>507</v>
      </c>
      <c r="L858" s="121">
        <f t="shared" si="421"/>
        <v>100</v>
      </c>
    </row>
    <row r="859" spans="1:12" s="184" customFormat="1" ht="24">
      <c r="A859" s="119" t="s">
        <v>85</v>
      </c>
      <c r="B859" s="120" t="s">
        <v>135</v>
      </c>
      <c r="C859" s="120" t="s">
        <v>490</v>
      </c>
      <c r="D859" s="120" t="s">
        <v>484</v>
      </c>
      <c r="E859" s="120" t="s">
        <v>293</v>
      </c>
      <c r="F859" s="120" t="s">
        <v>86</v>
      </c>
      <c r="G859" s="121">
        <f>252+15+80+160</f>
        <v>507</v>
      </c>
      <c r="H859" s="134">
        <f t="shared" si="425"/>
        <v>0</v>
      </c>
      <c r="I859" s="121">
        <f>252+15+80+160</f>
        <v>507</v>
      </c>
      <c r="J859" s="121">
        <v>359.22500000000002</v>
      </c>
      <c r="K859" s="121">
        <f>252+15+80+160</f>
        <v>507</v>
      </c>
      <c r="L859" s="121">
        <f t="shared" si="421"/>
        <v>100</v>
      </c>
    </row>
    <row r="860" spans="1:12" s="184" customFormat="1">
      <c r="A860" s="119" t="s">
        <v>87</v>
      </c>
      <c r="B860" s="120" t="s">
        <v>135</v>
      </c>
      <c r="C860" s="120" t="s">
        <v>490</v>
      </c>
      <c r="D860" s="120" t="s">
        <v>484</v>
      </c>
      <c r="E860" s="120" t="s">
        <v>293</v>
      </c>
      <c r="F860" s="120" t="s">
        <v>88</v>
      </c>
      <c r="G860" s="121">
        <f>G861</f>
        <v>15</v>
      </c>
      <c r="H860" s="134">
        <f t="shared" si="425"/>
        <v>0</v>
      </c>
      <c r="I860" s="121">
        <f>I861</f>
        <v>15</v>
      </c>
      <c r="J860" s="229">
        <f t="shared" ref="J860" si="440">J861</f>
        <v>0</v>
      </c>
      <c r="K860" s="121">
        <f>K861</f>
        <v>15</v>
      </c>
      <c r="L860" s="121">
        <f t="shared" si="421"/>
        <v>100</v>
      </c>
    </row>
    <row r="861" spans="1:12" s="184" customFormat="1">
      <c r="A861" s="119" t="s">
        <v>514</v>
      </c>
      <c r="B861" s="120" t="s">
        <v>135</v>
      </c>
      <c r="C861" s="120" t="s">
        <v>490</v>
      </c>
      <c r="D861" s="120" t="s">
        <v>484</v>
      </c>
      <c r="E861" s="120" t="s">
        <v>293</v>
      </c>
      <c r="F861" s="120" t="s">
        <v>89</v>
      </c>
      <c r="G861" s="121">
        <v>15</v>
      </c>
      <c r="H861" s="134">
        <f t="shared" si="425"/>
        <v>0</v>
      </c>
      <c r="I861" s="121">
        <v>15</v>
      </c>
      <c r="J861" s="229">
        <v>0</v>
      </c>
      <c r="K861" s="121">
        <v>15</v>
      </c>
      <c r="L861" s="121">
        <f t="shared" si="421"/>
        <v>100</v>
      </c>
    </row>
    <row r="862" spans="1:12" s="184" customFormat="1">
      <c r="A862" s="110" t="s">
        <v>406</v>
      </c>
      <c r="B862" s="111" t="s">
        <v>135</v>
      </c>
      <c r="C862" s="111" t="s">
        <v>515</v>
      </c>
      <c r="D862" s="111" t="s">
        <v>77</v>
      </c>
      <c r="E862" s="111"/>
      <c r="F862" s="111"/>
      <c r="G862" s="112" t="e">
        <f>G863+G872</f>
        <v>#REF!</v>
      </c>
      <c r="H862" s="134" t="e">
        <f t="shared" si="425"/>
        <v>#REF!</v>
      </c>
      <c r="I862" s="112">
        <f>I863+I872</f>
        <v>23167.23</v>
      </c>
      <c r="J862" s="112">
        <f t="shared" ref="J862" si="441">J863+J872</f>
        <v>10293.944</v>
      </c>
      <c r="K862" s="112">
        <f>K863+K872</f>
        <v>20815.829999999998</v>
      </c>
      <c r="L862" s="112">
        <f t="shared" si="421"/>
        <v>89.850318747644835</v>
      </c>
    </row>
    <row r="863" spans="1:12" s="184" customFormat="1">
      <c r="A863" s="110" t="s">
        <v>394</v>
      </c>
      <c r="B863" s="111" t="s">
        <v>135</v>
      </c>
      <c r="C863" s="111" t="s">
        <v>515</v>
      </c>
      <c r="D863" s="111" t="s">
        <v>483</v>
      </c>
      <c r="E863" s="111"/>
      <c r="F863" s="111"/>
      <c r="G863" s="112" t="e">
        <f>G864</f>
        <v>#REF!</v>
      </c>
      <c r="H863" s="134" t="e">
        <f t="shared" si="425"/>
        <v>#REF!</v>
      </c>
      <c r="I863" s="112">
        <f>I864</f>
        <v>4167.2299999999987</v>
      </c>
      <c r="J863" s="112">
        <f t="shared" ref="J863:J864" si="442">J864</f>
        <v>640</v>
      </c>
      <c r="K863" s="112">
        <f>K864</f>
        <v>4167.2299999999987</v>
      </c>
      <c r="L863" s="112">
        <f t="shared" si="421"/>
        <v>100</v>
      </c>
    </row>
    <row r="864" spans="1:12" s="184" customFormat="1" ht="27">
      <c r="A864" s="123" t="s">
        <v>691</v>
      </c>
      <c r="B864" s="114" t="s">
        <v>135</v>
      </c>
      <c r="C864" s="114" t="s">
        <v>515</v>
      </c>
      <c r="D864" s="114" t="s">
        <v>483</v>
      </c>
      <c r="E864" s="114" t="s">
        <v>162</v>
      </c>
      <c r="F864" s="114"/>
      <c r="G864" s="115" t="e">
        <f>G865</f>
        <v>#REF!</v>
      </c>
      <c r="H864" s="134" t="e">
        <f t="shared" si="425"/>
        <v>#REF!</v>
      </c>
      <c r="I864" s="115">
        <f>I865</f>
        <v>4167.2299999999987</v>
      </c>
      <c r="J864" s="115">
        <f t="shared" si="442"/>
        <v>640</v>
      </c>
      <c r="K864" s="115">
        <f>K865</f>
        <v>4167.2299999999987</v>
      </c>
      <c r="L864" s="126">
        <f t="shared" si="421"/>
        <v>100</v>
      </c>
    </row>
    <row r="865" spans="1:12" s="184" customFormat="1">
      <c r="A865" s="110" t="s">
        <v>289</v>
      </c>
      <c r="B865" s="111" t="s">
        <v>135</v>
      </c>
      <c r="C865" s="111" t="s">
        <v>515</v>
      </c>
      <c r="D865" s="111" t="s">
        <v>483</v>
      </c>
      <c r="E865" s="111" t="s">
        <v>171</v>
      </c>
      <c r="F865" s="111"/>
      <c r="G865" s="112" t="e">
        <f>G866+G869</f>
        <v>#REF!</v>
      </c>
      <c r="H865" s="134" t="e">
        <f t="shared" si="425"/>
        <v>#REF!</v>
      </c>
      <c r="I865" s="112">
        <f>I866+I869</f>
        <v>4167.2299999999987</v>
      </c>
      <c r="J865" s="112">
        <f t="shared" ref="J865" si="443">J866+J869</f>
        <v>640</v>
      </c>
      <c r="K865" s="112">
        <f>K866+K869</f>
        <v>4167.2299999999987</v>
      </c>
      <c r="L865" s="112">
        <f t="shared" si="421"/>
        <v>100</v>
      </c>
    </row>
    <row r="866" spans="1:12" s="184" customFormat="1" ht="48">
      <c r="A866" s="124" t="s">
        <v>143</v>
      </c>
      <c r="B866" s="125" t="s">
        <v>135</v>
      </c>
      <c r="C866" s="125" t="s">
        <v>515</v>
      </c>
      <c r="D866" s="125" t="s">
        <v>483</v>
      </c>
      <c r="E866" s="125" t="s">
        <v>291</v>
      </c>
      <c r="F866" s="125"/>
      <c r="G866" s="126" t="e">
        <f>G867</f>
        <v>#REF!</v>
      </c>
      <c r="H866" s="134" t="e">
        <f t="shared" si="425"/>
        <v>#REF!</v>
      </c>
      <c r="I866" s="126">
        <f>I867</f>
        <v>3527.2299999999987</v>
      </c>
      <c r="J866" s="136">
        <f t="shared" ref="J866:J867" si="444">J867</f>
        <v>0</v>
      </c>
      <c r="K866" s="126">
        <f>K867</f>
        <v>3527.2299999999987</v>
      </c>
      <c r="L866" s="126">
        <f t="shared" si="421"/>
        <v>100</v>
      </c>
    </row>
    <row r="867" spans="1:12" s="184" customFormat="1" ht="24">
      <c r="A867" s="119" t="s">
        <v>104</v>
      </c>
      <c r="B867" s="120" t="s">
        <v>135</v>
      </c>
      <c r="C867" s="120" t="s">
        <v>515</v>
      </c>
      <c r="D867" s="120" t="s">
        <v>483</v>
      </c>
      <c r="E867" s="120" t="s">
        <v>291</v>
      </c>
      <c r="F867" s="120" t="s">
        <v>408</v>
      </c>
      <c r="G867" s="121" t="e">
        <f>G868+#REF!</f>
        <v>#REF!</v>
      </c>
      <c r="H867" s="134" t="e">
        <f t="shared" si="425"/>
        <v>#REF!</v>
      </c>
      <c r="I867" s="121">
        <f>I868</f>
        <v>3527.2299999999987</v>
      </c>
      <c r="J867" s="135">
        <f t="shared" si="444"/>
        <v>0</v>
      </c>
      <c r="K867" s="121">
        <f>K868</f>
        <v>3527.2299999999987</v>
      </c>
      <c r="L867" s="121">
        <f t="shared" si="421"/>
        <v>100</v>
      </c>
    </row>
    <row r="868" spans="1:12" s="184" customFormat="1">
      <c r="A868" s="119" t="s">
        <v>105</v>
      </c>
      <c r="B868" s="120" t="s">
        <v>135</v>
      </c>
      <c r="C868" s="120" t="s">
        <v>515</v>
      </c>
      <c r="D868" s="120" t="s">
        <v>483</v>
      </c>
      <c r="E868" s="120" t="s">
        <v>291</v>
      </c>
      <c r="F868" s="120" t="s">
        <v>425</v>
      </c>
      <c r="G868" s="121">
        <v>9203.7999999999993</v>
      </c>
      <c r="H868" s="134">
        <f t="shared" si="425"/>
        <v>-5676.5700000000006</v>
      </c>
      <c r="I868" s="121">
        <f>9203.8-0.02-6060.85+252+132.3</f>
        <v>3527.2299999999987</v>
      </c>
      <c r="J868" s="135">
        <v>0</v>
      </c>
      <c r="K868" s="121">
        <f>9203.8-0.02-6060.85+252+132.3</f>
        <v>3527.2299999999987</v>
      </c>
      <c r="L868" s="121">
        <f t="shared" si="421"/>
        <v>100</v>
      </c>
    </row>
    <row r="869" spans="1:12" s="184" customFormat="1" ht="24">
      <c r="A869" s="159" t="s">
        <v>178</v>
      </c>
      <c r="B869" s="139" t="s">
        <v>135</v>
      </c>
      <c r="C869" s="139" t="s">
        <v>515</v>
      </c>
      <c r="D869" s="139" t="s">
        <v>483</v>
      </c>
      <c r="E869" s="139" t="s">
        <v>690</v>
      </c>
      <c r="F869" s="139"/>
      <c r="G869" s="144">
        <f>G870</f>
        <v>640</v>
      </c>
      <c r="H869" s="134">
        <f t="shared" si="425"/>
        <v>0</v>
      </c>
      <c r="I869" s="144">
        <f>I870</f>
        <v>640</v>
      </c>
      <c r="J869" s="144">
        <f t="shared" ref="J869:J870" si="445">J870</f>
        <v>640</v>
      </c>
      <c r="K869" s="144">
        <f>K870</f>
        <v>640</v>
      </c>
      <c r="L869" s="144">
        <f t="shared" si="421"/>
        <v>100</v>
      </c>
    </row>
    <row r="870" spans="1:12" s="184" customFormat="1">
      <c r="A870" s="119" t="s">
        <v>95</v>
      </c>
      <c r="B870" s="130">
        <v>612</v>
      </c>
      <c r="C870" s="120" t="s">
        <v>515</v>
      </c>
      <c r="D870" s="120" t="s">
        <v>483</v>
      </c>
      <c r="E870" s="120" t="s">
        <v>690</v>
      </c>
      <c r="F870" s="120" t="s">
        <v>94</v>
      </c>
      <c r="G870" s="121">
        <f>G871</f>
        <v>640</v>
      </c>
      <c r="H870" s="134">
        <f t="shared" si="425"/>
        <v>0</v>
      </c>
      <c r="I870" s="121">
        <f>I871</f>
        <v>640</v>
      </c>
      <c r="J870" s="121">
        <f t="shared" si="445"/>
        <v>640</v>
      </c>
      <c r="K870" s="121">
        <f>K871</f>
        <v>640</v>
      </c>
      <c r="L870" s="121">
        <f t="shared" si="421"/>
        <v>100</v>
      </c>
    </row>
    <row r="871" spans="1:12" s="184" customFormat="1" ht="24">
      <c r="A871" s="119" t="s">
        <v>96</v>
      </c>
      <c r="B871" s="130">
        <v>612</v>
      </c>
      <c r="C871" s="120" t="s">
        <v>515</v>
      </c>
      <c r="D871" s="120" t="s">
        <v>483</v>
      </c>
      <c r="E871" s="120" t="s">
        <v>690</v>
      </c>
      <c r="F871" s="120" t="s">
        <v>97</v>
      </c>
      <c r="G871" s="121">
        <v>640</v>
      </c>
      <c r="H871" s="134">
        <f t="shared" si="425"/>
        <v>0</v>
      </c>
      <c r="I871" s="121">
        <v>640</v>
      </c>
      <c r="J871" s="121">
        <v>640</v>
      </c>
      <c r="K871" s="121">
        <v>640</v>
      </c>
      <c r="L871" s="121">
        <f t="shared" si="421"/>
        <v>100</v>
      </c>
    </row>
    <row r="872" spans="1:12" s="184" customFormat="1">
      <c r="A872" s="110" t="s">
        <v>395</v>
      </c>
      <c r="B872" s="111" t="s">
        <v>135</v>
      </c>
      <c r="C872" s="111" t="s">
        <v>515</v>
      </c>
      <c r="D872" s="111" t="s">
        <v>78</v>
      </c>
      <c r="E872" s="111"/>
      <c r="F872" s="111"/>
      <c r="G872" s="112">
        <f>G873</f>
        <v>19000</v>
      </c>
      <c r="H872" s="134">
        <f t="shared" si="425"/>
        <v>0</v>
      </c>
      <c r="I872" s="112">
        <f>I873</f>
        <v>19000</v>
      </c>
      <c r="J872" s="112">
        <f t="shared" ref="J872:J876" si="446">J873</f>
        <v>9653.9439999999995</v>
      </c>
      <c r="K872" s="112">
        <f>K873</f>
        <v>16648.599999999999</v>
      </c>
      <c r="L872" s="112">
        <f t="shared" si="421"/>
        <v>87.624210526315778</v>
      </c>
    </row>
    <row r="873" spans="1:12" s="184" customFormat="1" ht="27">
      <c r="A873" s="123" t="s">
        <v>691</v>
      </c>
      <c r="B873" s="114" t="s">
        <v>135</v>
      </c>
      <c r="C873" s="114" t="s">
        <v>515</v>
      </c>
      <c r="D873" s="114" t="s">
        <v>78</v>
      </c>
      <c r="E873" s="114" t="s">
        <v>162</v>
      </c>
      <c r="F873" s="125"/>
      <c r="G873" s="115">
        <f>G874</f>
        <v>19000</v>
      </c>
      <c r="H873" s="134">
        <f t="shared" si="425"/>
        <v>0</v>
      </c>
      <c r="I873" s="115">
        <f>I874</f>
        <v>19000</v>
      </c>
      <c r="J873" s="115">
        <f t="shared" si="446"/>
        <v>9653.9439999999995</v>
      </c>
      <c r="K873" s="115">
        <f>K874</f>
        <v>16648.599999999999</v>
      </c>
      <c r="L873" s="115">
        <f t="shared" si="421"/>
        <v>87.624210526315778</v>
      </c>
    </row>
    <row r="874" spans="1:12" s="184" customFormat="1">
      <c r="A874" s="110" t="s">
        <v>289</v>
      </c>
      <c r="B874" s="111" t="s">
        <v>135</v>
      </c>
      <c r="C874" s="111" t="s">
        <v>515</v>
      </c>
      <c r="D874" s="111" t="s">
        <v>78</v>
      </c>
      <c r="E874" s="111" t="s">
        <v>171</v>
      </c>
      <c r="F874" s="111"/>
      <c r="G874" s="112">
        <f>G875</f>
        <v>19000</v>
      </c>
      <c r="H874" s="134">
        <f t="shared" si="425"/>
        <v>0</v>
      </c>
      <c r="I874" s="112">
        <f>I875</f>
        <v>19000</v>
      </c>
      <c r="J874" s="112">
        <f t="shared" si="446"/>
        <v>9653.9439999999995</v>
      </c>
      <c r="K874" s="112">
        <f>K875</f>
        <v>16648.599999999999</v>
      </c>
      <c r="L874" s="112">
        <f t="shared" si="421"/>
        <v>87.624210526315778</v>
      </c>
    </row>
    <row r="875" spans="1:12" s="184" customFormat="1" ht="60">
      <c r="A875" s="174" t="s">
        <v>512</v>
      </c>
      <c r="B875" s="139" t="s">
        <v>135</v>
      </c>
      <c r="C875" s="139" t="s">
        <v>515</v>
      </c>
      <c r="D875" s="139" t="s">
        <v>78</v>
      </c>
      <c r="E875" s="139" t="s">
        <v>290</v>
      </c>
      <c r="F875" s="139"/>
      <c r="G875" s="144">
        <f>G876</f>
        <v>19000</v>
      </c>
      <c r="H875" s="134">
        <f t="shared" si="425"/>
        <v>0</v>
      </c>
      <c r="I875" s="144">
        <f>I876</f>
        <v>19000</v>
      </c>
      <c r="J875" s="144">
        <f t="shared" si="446"/>
        <v>9653.9439999999995</v>
      </c>
      <c r="K875" s="144">
        <f>K876</f>
        <v>16648.599999999999</v>
      </c>
      <c r="L875" s="144">
        <f t="shared" si="421"/>
        <v>87.624210526315778</v>
      </c>
    </row>
    <row r="876" spans="1:12" s="184" customFormat="1">
      <c r="A876" s="119" t="s">
        <v>95</v>
      </c>
      <c r="B876" s="120" t="s">
        <v>135</v>
      </c>
      <c r="C876" s="120" t="s">
        <v>515</v>
      </c>
      <c r="D876" s="120" t="s">
        <v>78</v>
      </c>
      <c r="E876" s="120" t="s">
        <v>290</v>
      </c>
      <c r="F876" s="120" t="s">
        <v>94</v>
      </c>
      <c r="G876" s="121">
        <f>G877</f>
        <v>19000</v>
      </c>
      <c r="H876" s="134">
        <f t="shared" si="425"/>
        <v>0</v>
      </c>
      <c r="I876" s="121">
        <f>I877</f>
        <v>19000</v>
      </c>
      <c r="J876" s="121">
        <f t="shared" si="446"/>
        <v>9653.9439999999995</v>
      </c>
      <c r="K876" s="121">
        <f>K877</f>
        <v>16648.599999999999</v>
      </c>
      <c r="L876" s="121">
        <f t="shared" si="421"/>
        <v>87.624210526315778</v>
      </c>
    </row>
    <row r="877" spans="1:12" s="184" customFormat="1">
      <c r="A877" s="119" t="s">
        <v>157</v>
      </c>
      <c r="B877" s="120" t="s">
        <v>135</v>
      </c>
      <c r="C877" s="120" t="s">
        <v>515</v>
      </c>
      <c r="D877" s="120" t="s">
        <v>78</v>
      </c>
      <c r="E877" s="120" t="s">
        <v>290</v>
      </c>
      <c r="F877" s="120" t="s">
        <v>518</v>
      </c>
      <c r="G877" s="121">
        <v>19000</v>
      </c>
      <c r="H877" s="134">
        <f t="shared" si="425"/>
        <v>0</v>
      </c>
      <c r="I877" s="121">
        <v>19000</v>
      </c>
      <c r="J877" s="121">
        <v>9653.9439999999995</v>
      </c>
      <c r="K877" s="121">
        <f>19000-2351.4</f>
        <v>16648.599999999999</v>
      </c>
      <c r="L877" s="121">
        <f t="shared" si="421"/>
        <v>87.624210526315778</v>
      </c>
    </row>
    <row r="878" spans="1:12" s="184" customFormat="1" ht="15.75">
      <c r="A878" s="113" t="s">
        <v>464</v>
      </c>
      <c r="B878" s="116" t="s">
        <v>465</v>
      </c>
      <c r="C878" s="116"/>
      <c r="D878" s="116"/>
      <c r="E878" s="116"/>
      <c r="F878" s="116"/>
      <c r="G878" s="118">
        <f>G879</f>
        <v>28986</v>
      </c>
      <c r="H878" s="134">
        <f t="shared" si="425"/>
        <v>755.70000000000073</v>
      </c>
      <c r="I878" s="118">
        <f>I879</f>
        <v>29741.7</v>
      </c>
      <c r="J878" s="118">
        <f t="shared" ref="J878" si="447">J879</f>
        <v>20511.371999999999</v>
      </c>
      <c r="K878" s="118">
        <f>K879</f>
        <v>29741.7</v>
      </c>
      <c r="L878" s="118">
        <f>K878/I878*100</f>
        <v>100</v>
      </c>
    </row>
    <row r="879" spans="1:12" s="184" customFormat="1">
      <c r="A879" s="110" t="s">
        <v>114</v>
      </c>
      <c r="B879" s="111" t="s">
        <v>465</v>
      </c>
      <c r="C879" s="111" t="s">
        <v>76</v>
      </c>
      <c r="D879" s="111" t="s">
        <v>77</v>
      </c>
      <c r="E879" s="111"/>
      <c r="F879" s="111"/>
      <c r="G879" s="112">
        <f>G880+G887+G898</f>
        <v>28986</v>
      </c>
      <c r="H879" s="134">
        <f t="shared" si="425"/>
        <v>755.70000000000073</v>
      </c>
      <c r="I879" s="112">
        <f>I880+I887+I898</f>
        <v>29741.7</v>
      </c>
      <c r="J879" s="112">
        <f t="shared" ref="J879" si="448">J880+J887+J898</f>
        <v>20511.371999999999</v>
      </c>
      <c r="K879" s="112">
        <f>K880+K887+K898</f>
        <v>29741.7</v>
      </c>
      <c r="L879" s="112">
        <f>K879/I879*100</f>
        <v>100</v>
      </c>
    </row>
    <row r="880" spans="1:12" s="184" customFormat="1" ht="24">
      <c r="A880" s="110" t="s">
        <v>466</v>
      </c>
      <c r="B880" s="111" t="s">
        <v>465</v>
      </c>
      <c r="C880" s="111" t="s">
        <v>76</v>
      </c>
      <c r="D880" s="111" t="s">
        <v>491</v>
      </c>
      <c r="E880" s="111"/>
      <c r="F880" s="111"/>
      <c r="G880" s="112">
        <f t="shared" ref="G880:K885" si="449">G881</f>
        <v>2000</v>
      </c>
      <c r="H880" s="134">
        <f t="shared" si="425"/>
        <v>0</v>
      </c>
      <c r="I880" s="112">
        <f t="shared" si="449"/>
        <v>2000</v>
      </c>
      <c r="J880" s="112">
        <f t="shared" si="449"/>
        <v>1331.116</v>
      </c>
      <c r="K880" s="112">
        <f t="shared" si="449"/>
        <v>2000</v>
      </c>
      <c r="L880" s="112">
        <f t="shared" ref="L880:L903" si="450">K880/I880*100</f>
        <v>100</v>
      </c>
    </row>
    <row r="881" spans="1:12" s="184" customFormat="1">
      <c r="A881" s="124" t="s">
        <v>34</v>
      </c>
      <c r="B881" s="125" t="s">
        <v>465</v>
      </c>
      <c r="C881" s="125" t="s">
        <v>76</v>
      </c>
      <c r="D881" s="125" t="s">
        <v>491</v>
      </c>
      <c r="E881" s="125" t="s">
        <v>220</v>
      </c>
      <c r="F881" s="125"/>
      <c r="G881" s="126">
        <f t="shared" si="449"/>
        <v>2000</v>
      </c>
      <c r="H881" s="134">
        <f t="shared" si="425"/>
        <v>0</v>
      </c>
      <c r="I881" s="126">
        <f t="shared" si="449"/>
        <v>2000</v>
      </c>
      <c r="J881" s="126">
        <f t="shared" si="449"/>
        <v>1331.116</v>
      </c>
      <c r="K881" s="126">
        <f t="shared" si="449"/>
        <v>2000</v>
      </c>
      <c r="L881" s="126">
        <f t="shared" si="450"/>
        <v>100</v>
      </c>
    </row>
    <row r="882" spans="1:12" s="184" customFormat="1">
      <c r="A882" s="110" t="s">
        <v>108</v>
      </c>
      <c r="B882" s="111" t="s">
        <v>465</v>
      </c>
      <c r="C882" s="111" t="s">
        <v>76</v>
      </c>
      <c r="D882" s="111" t="s">
        <v>491</v>
      </c>
      <c r="E882" s="111" t="s">
        <v>221</v>
      </c>
      <c r="F882" s="111"/>
      <c r="G882" s="112">
        <f t="shared" si="449"/>
        <v>2000</v>
      </c>
      <c r="H882" s="134">
        <f t="shared" si="425"/>
        <v>0</v>
      </c>
      <c r="I882" s="112">
        <f t="shared" si="449"/>
        <v>2000</v>
      </c>
      <c r="J882" s="112">
        <f t="shared" si="449"/>
        <v>1331.116</v>
      </c>
      <c r="K882" s="112">
        <f t="shared" si="449"/>
        <v>2000</v>
      </c>
      <c r="L882" s="112">
        <f t="shared" si="450"/>
        <v>100</v>
      </c>
    </row>
    <row r="883" spans="1:12" s="184" customFormat="1">
      <c r="A883" s="143" t="s">
        <v>310</v>
      </c>
      <c r="B883" s="139" t="s">
        <v>465</v>
      </c>
      <c r="C883" s="139" t="s">
        <v>76</v>
      </c>
      <c r="D883" s="139" t="s">
        <v>491</v>
      </c>
      <c r="E883" s="139" t="s">
        <v>222</v>
      </c>
      <c r="F883" s="120"/>
      <c r="G883" s="144">
        <f t="shared" si="449"/>
        <v>2000</v>
      </c>
      <c r="H883" s="134">
        <f t="shared" si="425"/>
        <v>0</v>
      </c>
      <c r="I883" s="144">
        <f t="shared" si="449"/>
        <v>2000</v>
      </c>
      <c r="J883" s="144">
        <f t="shared" si="449"/>
        <v>1331.116</v>
      </c>
      <c r="K883" s="144">
        <f t="shared" si="449"/>
        <v>2000</v>
      </c>
      <c r="L883" s="144">
        <f t="shared" si="450"/>
        <v>100</v>
      </c>
    </row>
    <row r="884" spans="1:12" s="184" customFormat="1">
      <c r="A884" s="175" t="s">
        <v>30</v>
      </c>
      <c r="B884" s="176" t="s">
        <v>465</v>
      </c>
      <c r="C884" s="176" t="s">
        <v>76</v>
      </c>
      <c r="D884" s="176" t="s">
        <v>491</v>
      </c>
      <c r="E884" s="176" t="s">
        <v>223</v>
      </c>
      <c r="F884" s="177"/>
      <c r="G884" s="112">
        <f t="shared" si="449"/>
        <v>2000</v>
      </c>
      <c r="H884" s="134">
        <f t="shared" si="425"/>
        <v>0</v>
      </c>
      <c r="I884" s="112">
        <f t="shared" si="449"/>
        <v>2000</v>
      </c>
      <c r="J884" s="112">
        <f t="shared" si="449"/>
        <v>1331.116</v>
      </c>
      <c r="K884" s="112">
        <f t="shared" si="449"/>
        <v>2000</v>
      </c>
      <c r="L884" s="112">
        <f t="shared" si="450"/>
        <v>100</v>
      </c>
    </row>
    <row r="885" spans="1:12" s="184" customFormat="1" ht="36">
      <c r="A885" s="119" t="s">
        <v>79</v>
      </c>
      <c r="B885" s="120" t="s">
        <v>465</v>
      </c>
      <c r="C885" s="120" t="s">
        <v>76</v>
      </c>
      <c r="D885" s="120" t="s">
        <v>491</v>
      </c>
      <c r="E885" s="120" t="s">
        <v>224</v>
      </c>
      <c r="F885" s="120" t="s">
        <v>80</v>
      </c>
      <c r="G885" s="121">
        <f t="shared" si="449"/>
        <v>2000</v>
      </c>
      <c r="H885" s="134">
        <f t="shared" si="425"/>
        <v>0</v>
      </c>
      <c r="I885" s="121">
        <f t="shared" si="449"/>
        <v>2000</v>
      </c>
      <c r="J885" s="121">
        <f t="shared" si="449"/>
        <v>1331.116</v>
      </c>
      <c r="K885" s="121">
        <f t="shared" si="449"/>
        <v>2000</v>
      </c>
      <c r="L885" s="121">
        <f t="shared" si="450"/>
        <v>100</v>
      </c>
    </row>
    <row r="886" spans="1:12" s="184" customFormat="1">
      <c r="A886" s="119" t="s">
        <v>81</v>
      </c>
      <c r="B886" s="120" t="s">
        <v>465</v>
      </c>
      <c r="C886" s="120" t="s">
        <v>76</v>
      </c>
      <c r="D886" s="120" t="s">
        <v>491</v>
      </c>
      <c r="E886" s="120" t="s">
        <v>224</v>
      </c>
      <c r="F886" s="120" t="s">
        <v>82</v>
      </c>
      <c r="G886" s="121">
        <v>2000</v>
      </c>
      <c r="H886" s="134">
        <f t="shared" si="425"/>
        <v>0</v>
      </c>
      <c r="I886" s="121">
        <v>2000</v>
      </c>
      <c r="J886" s="121">
        <v>1331.116</v>
      </c>
      <c r="K886" s="121">
        <v>2000</v>
      </c>
      <c r="L886" s="121">
        <f t="shared" si="450"/>
        <v>100</v>
      </c>
    </row>
    <row r="887" spans="1:12" s="184" customFormat="1" ht="36">
      <c r="A887" s="110" t="s">
        <v>311</v>
      </c>
      <c r="B887" s="111" t="s">
        <v>465</v>
      </c>
      <c r="C887" s="111" t="s">
        <v>76</v>
      </c>
      <c r="D887" s="111" t="s">
        <v>483</v>
      </c>
      <c r="E887" s="111"/>
      <c r="F887" s="111"/>
      <c r="G887" s="112">
        <f>G888+G893</f>
        <v>24792</v>
      </c>
      <c r="H887" s="134">
        <f t="shared" si="425"/>
        <v>755.70000000000073</v>
      </c>
      <c r="I887" s="112">
        <f>I888</f>
        <v>25547.7</v>
      </c>
      <c r="J887" s="112">
        <f t="shared" ref="J887:J888" si="451">J888</f>
        <v>17528.402999999998</v>
      </c>
      <c r="K887" s="112">
        <f>K888</f>
        <v>25547.7</v>
      </c>
      <c r="L887" s="112">
        <f t="shared" si="450"/>
        <v>100</v>
      </c>
    </row>
    <row r="888" spans="1:12" s="184" customFormat="1" ht="24">
      <c r="A888" s="124" t="s">
        <v>29</v>
      </c>
      <c r="B888" s="125" t="s">
        <v>465</v>
      </c>
      <c r="C888" s="125" t="s">
        <v>76</v>
      </c>
      <c r="D888" s="125" t="s">
        <v>483</v>
      </c>
      <c r="E888" s="151" t="s">
        <v>225</v>
      </c>
      <c r="F888" s="147"/>
      <c r="G888" s="126">
        <f>G889</f>
        <v>19762</v>
      </c>
      <c r="H888" s="134">
        <f t="shared" si="425"/>
        <v>5785.7000000000007</v>
      </c>
      <c r="I888" s="126">
        <f>I889</f>
        <v>25547.7</v>
      </c>
      <c r="J888" s="126">
        <f t="shared" si="451"/>
        <v>17528.402999999998</v>
      </c>
      <c r="K888" s="126">
        <f>K889</f>
        <v>25547.7</v>
      </c>
      <c r="L888" s="126">
        <f t="shared" si="450"/>
        <v>100</v>
      </c>
    </row>
    <row r="889" spans="1:12" s="184" customFormat="1">
      <c r="A889" s="110" t="s">
        <v>108</v>
      </c>
      <c r="B889" s="111" t="s">
        <v>465</v>
      </c>
      <c r="C889" s="111" t="s">
        <v>76</v>
      </c>
      <c r="D889" s="111" t="s">
        <v>483</v>
      </c>
      <c r="E889" s="178" t="s">
        <v>137</v>
      </c>
      <c r="F889" s="150"/>
      <c r="G889" s="112">
        <f>G890</f>
        <v>19762</v>
      </c>
      <c r="H889" s="134">
        <f t="shared" si="425"/>
        <v>5785.7000000000007</v>
      </c>
      <c r="I889" s="112">
        <f>I890+I893</f>
        <v>25547.7</v>
      </c>
      <c r="J889" s="112">
        <f t="shared" ref="J889" si="452">J890+J893</f>
        <v>17528.402999999998</v>
      </c>
      <c r="K889" s="112">
        <f>K890+K893</f>
        <v>25547.7</v>
      </c>
      <c r="L889" s="112">
        <f t="shared" si="450"/>
        <v>100</v>
      </c>
    </row>
    <row r="890" spans="1:12" s="184" customFormat="1">
      <c r="A890" s="175" t="s">
        <v>30</v>
      </c>
      <c r="B890" s="176" t="s">
        <v>465</v>
      </c>
      <c r="C890" s="176" t="s">
        <v>76</v>
      </c>
      <c r="D890" s="176" t="s">
        <v>483</v>
      </c>
      <c r="E890" s="176" t="s">
        <v>229</v>
      </c>
      <c r="F890" s="177"/>
      <c r="G890" s="112">
        <f>G891</f>
        <v>19762</v>
      </c>
      <c r="H890" s="134">
        <f t="shared" si="425"/>
        <v>0</v>
      </c>
      <c r="I890" s="112">
        <f>I891</f>
        <v>19762</v>
      </c>
      <c r="J890" s="112">
        <f t="shared" ref="J890:J891" si="453">J891</f>
        <v>14914.874</v>
      </c>
      <c r="K890" s="112">
        <f>K891</f>
        <v>19762</v>
      </c>
      <c r="L890" s="112">
        <f t="shared" si="450"/>
        <v>100</v>
      </c>
    </row>
    <row r="891" spans="1:12" s="184" customFormat="1" ht="36">
      <c r="A891" s="119" t="s">
        <v>79</v>
      </c>
      <c r="B891" s="120" t="s">
        <v>465</v>
      </c>
      <c r="C891" s="120" t="s">
        <v>76</v>
      </c>
      <c r="D891" s="120" t="s">
        <v>483</v>
      </c>
      <c r="E891" s="120" t="s">
        <v>229</v>
      </c>
      <c r="F891" s="120" t="s">
        <v>80</v>
      </c>
      <c r="G891" s="121">
        <f>G892</f>
        <v>19762</v>
      </c>
      <c r="H891" s="134">
        <f t="shared" si="425"/>
        <v>0</v>
      </c>
      <c r="I891" s="121">
        <f>I892</f>
        <v>19762</v>
      </c>
      <c r="J891" s="121">
        <f t="shared" si="453"/>
        <v>14914.874</v>
      </c>
      <c r="K891" s="121">
        <f>K892</f>
        <v>19762</v>
      </c>
      <c r="L891" s="121">
        <f t="shared" si="450"/>
        <v>100</v>
      </c>
    </row>
    <row r="892" spans="1:12" s="184" customFormat="1">
      <c r="A892" s="119" t="s">
        <v>81</v>
      </c>
      <c r="B892" s="120" t="s">
        <v>465</v>
      </c>
      <c r="C892" s="120" t="s">
        <v>76</v>
      </c>
      <c r="D892" s="120" t="s">
        <v>483</v>
      </c>
      <c r="E892" s="120" t="s">
        <v>229</v>
      </c>
      <c r="F892" s="120" t="s">
        <v>82</v>
      </c>
      <c r="G892" s="121">
        <f>14550+50+4380+62+720</f>
        <v>19762</v>
      </c>
      <c r="H892" s="134">
        <f t="shared" si="425"/>
        <v>0</v>
      </c>
      <c r="I892" s="121">
        <f>14550+50+4380+62+720</f>
        <v>19762</v>
      </c>
      <c r="J892" s="121">
        <v>14914.874</v>
      </c>
      <c r="K892" s="121">
        <f>14550+50+4380+62+720</f>
        <v>19762</v>
      </c>
      <c r="L892" s="121">
        <f t="shared" si="450"/>
        <v>100</v>
      </c>
    </row>
    <row r="893" spans="1:12" s="184" customFormat="1">
      <c r="A893" s="110" t="s">
        <v>142</v>
      </c>
      <c r="B893" s="111" t="s">
        <v>465</v>
      </c>
      <c r="C893" s="111" t="s">
        <v>76</v>
      </c>
      <c r="D893" s="111" t="s">
        <v>483</v>
      </c>
      <c r="E893" s="111" t="s">
        <v>230</v>
      </c>
      <c r="F893" s="120"/>
      <c r="G893" s="112">
        <f>G894+G896</f>
        <v>5030</v>
      </c>
      <c r="H893" s="134">
        <f t="shared" si="425"/>
        <v>755.69999999999982</v>
      </c>
      <c r="I893" s="112">
        <f>I894+I896</f>
        <v>5785.7</v>
      </c>
      <c r="J893" s="112">
        <f t="shared" ref="J893" si="454">J894+J896</f>
        <v>2613.529</v>
      </c>
      <c r="K893" s="112">
        <f>K894+K896</f>
        <v>5785.7</v>
      </c>
      <c r="L893" s="112">
        <f t="shared" si="450"/>
        <v>100</v>
      </c>
    </row>
    <row r="894" spans="1:12" s="184" customFormat="1">
      <c r="A894" s="119" t="s">
        <v>301</v>
      </c>
      <c r="B894" s="120" t="s">
        <v>465</v>
      </c>
      <c r="C894" s="120" t="s">
        <v>76</v>
      </c>
      <c r="D894" s="120" t="s">
        <v>483</v>
      </c>
      <c r="E894" s="120" t="s">
        <v>230</v>
      </c>
      <c r="F894" s="120" t="s">
        <v>84</v>
      </c>
      <c r="G894" s="121">
        <f>G895</f>
        <v>5005</v>
      </c>
      <c r="H894" s="134">
        <f t="shared" si="425"/>
        <v>755.69999999999982</v>
      </c>
      <c r="I894" s="121">
        <f>I895</f>
        <v>5760.7</v>
      </c>
      <c r="J894" s="121">
        <f t="shared" ref="J894" si="455">J895</f>
        <v>2603.4189999999999</v>
      </c>
      <c r="K894" s="121">
        <f>K895</f>
        <v>5760.7</v>
      </c>
      <c r="L894" s="121">
        <f t="shared" si="450"/>
        <v>100</v>
      </c>
    </row>
    <row r="895" spans="1:12" s="184" customFormat="1" ht="24">
      <c r="A895" s="119" t="s">
        <v>85</v>
      </c>
      <c r="B895" s="120" t="s">
        <v>465</v>
      </c>
      <c r="C895" s="120" t="s">
        <v>76</v>
      </c>
      <c r="D895" s="120" t="s">
        <v>483</v>
      </c>
      <c r="E895" s="120" t="s">
        <v>230</v>
      </c>
      <c r="F895" s="120" t="s">
        <v>86</v>
      </c>
      <c r="G895" s="121">
        <f>800+200+390+25+1950+1640</f>
        <v>5005</v>
      </c>
      <c r="H895" s="134">
        <f t="shared" si="425"/>
        <v>755.69999999999982</v>
      </c>
      <c r="I895" s="121">
        <f>800+200+390+25+1950+1640+515.7+240</f>
        <v>5760.7</v>
      </c>
      <c r="J895" s="121">
        <v>2603.4189999999999</v>
      </c>
      <c r="K895" s="121">
        <f>800+200+390+25+1950+1640+515.7+240</f>
        <v>5760.7</v>
      </c>
      <c r="L895" s="121">
        <f t="shared" si="450"/>
        <v>100</v>
      </c>
    </row>
    <row r="896" spans="1:12" s="184" customFormat="1">
      <c r="A896" s="119" t="s">
        <v>87</v>
      </c>
      <c r="B896" s="120" t="s">
        <v>465</v>
      </c>
      <c r="C896" s="120" t="s">
        <v>76</v>
      </c>
      <c r="D896" s="120" t="s">
        <v>483</v>
      </c>
      <c r="E896" s="120" t="s">
        <v>230</v>
      </c>
      <c r="F896" s="120" t="s">
        <v>88</v>
      </c>
      <c r="G896" s="121">
        <f>G897</f>
        <v>25</v>
      </c>
      <c r="H896" s="134">
        <f t="shared" si="425"/>
        <v>0</v>
      </c>
      <c r="I896" s="121">
        <f>I897</f>
        <v>25</v>
      </c>
      <c r="J896" s="121">
        <f t="shared" ref="J896" si="456">J897</f>
        <v>10.11</v>
      </c>
      <c r="K896" s="121">
        <f>K897</f>
        <v>25</v>
      </c>
      <c r="L896" s="121">
        <f t="shared" si="450"/>
        <v>100</v>
      </c>
    </row>
    <row r="897" spans="1:12" s="184" customFormat="1">
      <c r="A897" s="119" t="s">
        <v>514</v>
      </c>
      <c r="B897" s="120" t="s">
        <v>465</v>
      </c>
      <c r="C897" s="120" t="s">
        <v>76</v>
      </c>
      <c r="D897" s="120" t="s">
        <v>483</v>
      </c>
      <c r="E897" s="120" t="s">
        <v>230</v>
      </c>
      <c r="F897" s="120" t="s">
        <v>89</v>
      </c>
      <c r="G897" s="121">
        <v>25</v>
      </c>
      <c r="H897" s="134">
        <f t="shared" si="425"/>
        <v>0</v>
      </c>
      <c r="I897" s="121">
        <v>25</v>
      </c>
      <c r="J897" s="121">
        <v>10.11</v>
      </c>
      <c r="K897" s="121">
        <v>25</v>
      </c>
      <c r="L897" s="121">
        <f t="shared" si="450"/>
        <v>100</v>
      </c>
    </row>
    <row r="898" spans="1:12" s="184" customFormat="1">
      <c r="A898" s="124" t="s">
        <v>34</v>
      </c>
      <c r="B898" s="125" t="s">
        <v>465</v>
      </c>
      <c r="C898" s="125" t="s">
        <v>76</v>
      </c>
      <c r="D898" s="125" t="s">
        <v>93</v>
      </c>
      <c r="E898" s="125" t="s">
        <v>214</v>
      </c>
      <c r="F898" s="125"/>
      <c r="G898" s="126">
        <f>G899</f>
        <v>2194</v>
      </c>
      <c r="H898" s="134">
        <f t="shared" si="425"/>
        <v>0</v>
      </c>
      <c r="I898" s="126">
        <f>I899</f>
        <v>2194</v>
      </c>
      <c r="J898" s="126">
        <f t="shared" ref="J898:J902" si="457">J899</f>
        <v>1651.8530000000001</v>
      </c>
      <c r="K898" s="126">
        <f>K899</f>
        <v>2194</v>
      </c>
      <c r="L898" s="126">
        <f t="shared" si="450"/>
        <v>100</v>
      </c>
    </row>
    <row r="899" spans="1:12" s="184" customFormat="1">
      <c r="A899" s="110" t="s">
        <v>108</v>
      </c>
      <c r="B899" s="111" t="s">
        <v>465</v>
      </c>
      <c r="C899" s="111" t="s">
        <v>76</v>
      </c>
      <c r="D899" s="111" t="s">
        <v>93</v>
      </c>
      <c r="E899" s="111" t="s">
        <v>215</v>
      </c>
      <c r="F899" s="111"/>
      <c r="G899" s="112">
        <f>G900</f>
        <v>2194</v>
      </c>
      <c r="H899" s="134">
        <f t="shared" si="425"/>
        <v>0</v>
      </c>
      <c r="I899" s="112">
        <f>I900</f>
        <v>2194</v>
      </c>
      <c r="J899" s="112">
        <f t="shared" si="457"/>
        <v>1651.8530000000001</v>
      </c>
      <c r="K899" s="112">
        <f>K900</f>
        <v>2194</v>
      </c>
      <c r="L899" s="112">
        <f t="shared" si="450"/>
        <v>100</v>
      </c>
    </row>
    <row r="900" spans="1:12" s="184" customFormat="1" ht="24">
      <c r="A900" s="143" t="s">
        <v>27</v>
      </c>
      <c r="B900" s="139" t="s">
        <v>465</v>
      </c>
      <c r="C900" s="139" t="s">
        <v>76</v>
      </c>
      <c r="D900" s="139" t="s">
        <v>93</v>
      </c>
      <c r="E900" s="139" t="s">
        <v>231</v>
      </c>
      <c r="F900" s="139"/>
      <c r="G900" s="144">
        <f>G901</f>
        <v>2194</v>
      </c>
      <c r="H900" s="134">
        <f t="shared" si="425"/>
        <v>0</v>
      </c>
      <c r="I900" s="144">
        <f>I901</f>
        <v>2194</v>
      </c>
      <c r="J900" s="144">
        <f t="shared" si="457"/>
        <v>1651.8530000000001</v>
      </c>
      <c r="K900" s="144">
        <f>K901</f>
        <v>2194</v>
      </c>
      <c r="L900" s="144">
        <f t="shared" si="450"/>
        <v>100</v>
      </c>
    </row>
    <row r="901" spans="1:12" s="184" customFormat="1" ht="24">
      <c r="A901" s="127" t="s">
        <v>35</v>
      </c>
      <c r="B901" s="111" t="s">
        <v>465</v>
      </c>
      <c r="C901" s="111" t="s">
        <v>76</v>
      </c>
      <c r="D901" s="111" t="s">
        <v>93</v>
      </c>
      <c r="E901" s="111" t="s">
        <v>231</v>
      </c>
      <c r="F901" s="111"/>
      <c r="G901" s="112">
        <f>G902</f>
        <v>2194</v>
      </c>
      <c r="H901" s="134">
        <f t="shared" ref="H901:H922" si="458">I901-G901</f>
        <v>0</v>
      </c>
      <c r="I901" s="112">
        <f>I902</f>
        <v>2194</v>
      </c>
      <c r="J901" s="112">
        <f t="shared" si="457"/>
        <v>1651.8530000000001</v>
      </c>
      <c r="K901" s="112">
        <f>K902</f>
        <v>2194</v>
      </c>
      <c r="L901" s="112">
        <f t="shared" si="450"/>
        <v>100</v>
      </c>
    </row>
    <row r="902" spans="1:12" s="184" customFormat="1" ht="36">
      <c r="A902" s="119" t="s">
        <v>79</v>
      </c>
      <c r="B902" s="120" t="s">
        <v>465</v>
      </c>
      <c r="C902" s="120" t="s">
        <v>76</v>
      </c>
      <c r="D902" s="120" t="s">
        <v>93</v>
      </c>
      <c r="E902" s="120" t="s">
        <v>231</v>
      </c>
      <c r="F902" s="120" t="s">
        <v>80</v>
      </c>
      <c r="G902" s="121">
        <f>G903</f>
        <v>2194</v>
      </c>
      <c r="H902" s="134">
        <f t="shared" si="458"/>
        <v>0</v>
      </c>
      <c r="I902" s="121">
        <f>I903</f>
        <v>2194</v>
      </c>
      <c r="J902" s="121">
        <f t="shared" si="457"/>
        <v>1651.8530000000001</v>
      </c>
      <c r="K902" s="121">
        <f>K903</f>
        <v>2194</v>
      </c>
      <c r="L902" s="121">
        <f t="shared" si="450"/>
        <v>100</v>
      </c>
    </row>
    <row r="903" spans="1:12" s="184" customFormat="1">
      <c r="A903" s="119" t="s">
        <v>81</v>
      </c>
      <c r="B903" s="120" t="s">
        <v>465</v>
      </c>
      <c r="C903" s="120" t="s">
        <v>76</v>
      </c>
      <c r="D903" s="120" t="s">
        <v>93</v>
      </c>
      <c r="E903" s="120" t="s">
        <v>231</v>
      </c>
      <c r="F903" s="120" t="s">
        <v>82</v>
      </c>
      <c r="G903" s="121">
        <v>2194</v>
      </c>
      <c r="H903" s="134">
        <f t="shared" si="458"/>
        <v>0</v>
      </c>
      <c r="I903" s="121">
        <v>2194</v>
      </c>
      <c r="J903" s="121">
        <v>1651.8530000000001</v>
      </c>
      <c r="K903" s="121">
        <v>2194</v>
      </c>
      <c r="L903" s="121">
        <f t="shared" si="450"/>
        <v>100</v>
      </c>
    </row>
    <row r="904" spans="1:12" s="184" customFormat="1" ht="31.5">
      <c r="A904" s="113" t="s">
        <v>390</v>
      </c>
      <c r="B904" s="116" t="s">
        <v>391</v>
      </c>
      <c r="C904" s="116"/>
      <c r="D904" s="116"/>
      <c r="E904" s="116"/>
      <c r="F904" s="179"/>
      <c r="G904" s="118">
        <f>G905</f>
        <v>15176</v>
      </c>
      <c r="H904" s="134">
        <f t="shared" si="458"/>
        <v>0</v>
      </c>
      <c r="I904" s="118">
        <f>I905</f>
        <v>15176</v>
      </c>
      <c r="J904" s="118">
        <f t="shared" ref="J904" si="459">J905</f>
        <v>9785.2240000000002</v>
      </c>
      <c r="K904" s="118">
        <f>K905</f>
        <v>15176</v>
      </c>
      <c r="L904" s="118">
        <f>K904/I904*100</f>
        <v>100</v>
      </c>
    </row>
    <row r="905" spans="1:12" s="184" customFormat="1">
      <c r="A905" s="110" t="s">
        <v>114</v>
      </c>
      <c r="B905" s="111" t="s">
        <v>391</v>
      </c>
      <c r="C905" s="111" t="s">
        <v>76</v>
      </c>
      <c r="D905" s="111" t="s">
        <v>77</v>
      </c>
      <c r="E905" s="111"/>
      <c r="F905" s="137"/>
      <c r="G905" s="112">
        <f>G906+G923</f>
        <v>15176</v>
      </c>
      <c r="H905" s="134">
        <f t="shared" si="458"/>
        <v>0</v>
      </c>
      <c r="I905" s="112">
        <f>I906+I923+I917</f>
        <v>15176</v>
      </c>
      <c r="J905" s="112">
        <f t="shared" ref="J905" si="460">J906+J923+J917</f>
        <v>9785.2240000000002</v>
      </c>
      <c r="K905" s="112">
        <f>K906+K923+K917</f>
        <v>15176</v>
      </c>
      <c r="L905" s="112">
        <f>K905/I905*100</f>
        <v>100</v>
      </c>
    </row>
    <row r="906" spans="1:12" s="184" customFormat="1" ht="24">
      <c r="A906" s="110" t="s">
        <v>315</v>
      </c>
      <c r="B906" s="111" t="s">
        <v>391</v>
      </c>
      <c r="C906" s="111" t="s">
        <v>76</v>
      </c>
      <c r="D906" s="111" t="s">
        <v>302</v>
      </c>
      <c r="E906" s="111"/>
      <c r="F906" s="111"/>
      <c r="G906" s="112">
        <f>G907</f>
        <v>15176</v>
      </c>
      <c r="H906" s="134">
        <f t="shared" si="458"/>
        <v>-5</v>
      </c>
      <c r="I906" s="112">
        <f>I907</f>
        <v>15171</v>
      </c>
      <c r="J906" s="112">
        <f t="shared" ref="J906:J907" si="461">J907</f>
        <v>9785.2240000000002</v>
      </c>
      <c r="K906" s="112">
        <f>K907</f>
        <v>15171</v>
      </c>
      <c r="L906" s="112">
        <f t="shared" ref="L906:L922" si="462">K906/I906*100</f>
        <v>100</v>
      </c>
    </row>
    <row r="907" spans="1:12" s="184" customFormat="1" ht="24">
      <c r="A907" s="145" t="s">
        <v>393</v>
      </c>
      <c r="B907" s="125" t="s">
        <v>391</v>
      </c>
      <c r="C907" s="125" t="s">
        <v>76</v>
      </c>
      <c r="D907" s="125" t="s">
        <v>302</v>
      </c>
      <c r="E907" s="125" t="s">
        <v>232</v>
      </c>
      <c r="F907" s="139"/>
      <c r="G907" s="126">
        <f>G908</f>
        <v>15176</v>
      </c>
      <c r="H907" s="134">
        <f t="shared" si="458"/>
        <v>-5</v>
      </c>
      <c r="I907" s="126">
        <f>I908</f>
        <v>15171</v>
      </c>
      <c r="J907" s="126">
        <f t="shared" si="461"/>
        <v>9785.2240000000002</v>
      </c>
      <c r="K907" s="126">
        <f>K908</f>
        <v>15171</v>
      </c>
      <c r="L907" s="126">
        <f t="shared" si="462"/>
        <v>100</v>
      </c>
    </row>
    <row r="908" spans="1:12" s="184" customFormat="1">
      <c r="A908" s="127" t="s">
        <v>304</v>
      </c>
      <c r="B908" s="111" t="s">
        <v>391</v>
      </c>
      <c r="C908" s="111" t="s">
        <v>76</v>
      </c>
      <c r="D908" s="111" t="s">
        <v>302</v>
      </c>
      <c r="E908" s="111" t="s">
        <v>233</v>
      </c>
      <c r="F908" s="111"/>
      <c r="G908" s="112">
        <f>G909+G912</f>
        <v>15176</v>
      </c>
      <c r="H908" s="134">
        <f t="shared" si="458"/>
        <v>-5</v>
      </c>
      <c r="I908" s="112">
        <f>I909+I912</f>
        <v>15171</v>
      </c>
      <c r="J908" s="112">
        <f t="shared" ref="J908" si="463">J909+J912</f>
        <v>9785.2240000000002</v>
      </c>
      <c r="K908" s="112">
        <f>K909+K912</f>
        <v>15171</v>
      </c>
      <c r="L908" s="112">
        <f t="shared" si="462"/>
        <v>100</v>
      </c>
    </row>
    <row r="909" spans="1:12" s="184" customFormat="1" ht="24">
      <c r="A909" s="127" t="s">
        <v>37</v>
      </c>
      <c r="B909" s="111" t="s">
        <v>391</v>
      </c>
      <c r="C909" s="111" t="s">
        <v>76</v>
      </c>
      <c r="D909" s="111" t="s">
        <v>302</v>
      </c>
      <c r="E909" s="111" t="s">
        <v>234</v>
      </c>
      <c r="F909" s="111"/>
      <c r="G909" s="112">
        <f>G910</f>
        <v>13120</v>
      </c>
      <c r="H909" s="134">
        <f t="shared" si="458"/>
        <v>0</v>
      </c>
      <c r="I909" s="112">
        <f>I910</f>
        <v>13120</v>
      </c>
      <c r="J909" s="112">
        <f t="shared" ref="J909:J910" si="464">J910</f>
        <v>8631.625</v>
      </c>
      <c r="K909" s="112">
        <f>K910</f>
        <v>13120</v>
      </c>
      <c r="L909" s="112">
        <f t="shared" si="462"/>
        <v>100</v>
      </c>
    </row>
    <row r="910" spans="1:12" s="184" customFormat="1" ht="36">
      <c r="A910" s="119" t="s">
        <v>79</v>
      </c>
      <c r="B910" s="120" t="s">
        <v>391</v>
      </c>
      <c r="C910" s="120" t="s">
        <v>76</v>
      </c>
      <c r="D910" s="120" t="s">
        <v>302</v>
      </c>
      <c r="E910" s="120" t="s">
        <v>234</v>
      </c>
      <c r="F910" s="120" t="s">
        <v>80</v>
      </c>
      <c r="G910" s="121">
        <f>G911</f>
        <v>13120</v>
      </c>
      <c r="H910" s="134">
        <f t="shared" si="458"/>
        <v>0</v>
      </c>
      <c r="I910" s="121">
        <f>I911</f>
        <v>13120</v>
      </c>
      <c r="J910" s="121">
        <f t="shared" si="464"/>
        <v>8631.625</v>
      </c>
      <c r="K910" s="121">
        <f>K911</f>
        <v>13120</v>
      </c>
      <c r="L910" s="121">
        <f t="shared" si="462"/>
        <v>100</v>
      </c>
    </row>
    <row r="911" spans="1:12" s="184" customFormat="1">
      <c r="A911" s="119" t="s">
        <v>81</v>
      </c>
      <c r="B911" s="120" t="s">
        <v>391</v>
      </c>
      <c r="C911" s="120" t="s">
        <v>76</v>
      </c>
      <c r="D911" s="120" t="s">
        <v>302</v>
      </c>
      <c r="E911" s="120" t="s">
        <v>234</v>
      </c>
      <c r="F911" s="120" t="s">
        <v>82</v>
      </c>
      <c r="G911" s="121">
        <f>10060+40+3000+20</f>
        <v>13120</v>
      </c>
      <c r="H911" s="134">
        <f t="shared" si="458"/>
        <v>0</v>
      </c>
      <c r="I911" s="121">
        <f>10060+40+3000+20</f>
        <v>13120</v>
      </c>
      <c r="J911" s="121">
        <v>8631.625</v>
      </c>
      <c r="K911" s="121">
        <f>10060+40+3000+20</f>
        <v>13120</v>
      </c>
      <c r="L911" s="121">
        <f t="shared" si="462"/>
        <v>100</v>
      </c>
    </row>
    <row r="912" spans="1:12" s="184" customFormat="1" ht="24">
      <c r="A912" s="110" t="s">
        <v>38</v>
      </c>
      <c r="B912" s="111" t="s">
        <v>391</v>
      </c>
      <c r="C912" s="111" t="s">
        <v>76</v>
      </c>
      <c r="D912" s="111" t="s">
        <v>302</v>
      </c>
      <c r="E912" s="111" t="s">
        <v>235</v>
      </c>
      <c r="F912" s="111"/>
      <c r="G912" s="112">
        <f>G913+G915</f>
        <v>2056</v>
      </c>
      <c r="H912" s="134">
        <f t="shared" si="458"/>
        <v>-5</v>
      </c>
      <c r="I912" s="112">
        <f>I913+I915</f>
        <v>2051</v>
      </c>
      <c r="J912" s="112">
        <f t="shared" ref="J912" si="465">J913+J915</f>
        <v>1153.5990000000002</v>
      </c>
      <c r="K912" s="112">
        <f>K913+K915</f>
        <v>2051</v>
      </c>
      <c r="L912" s="112">
        <f t="shared" si="462"/>
        <v>100</v>
      </c>
    </row>
    <row r="913" spans="1:12" s="184" customFormat="1">
      <c r="A913" s="119" t="s">
        <v>301</v>
      </c>
      <c r="B913" s="120" t="s">
        <v>391</v>
      </c>
      <c r="C913" s="120" t="s">
        <v>76</v>
      </c>
      <c r="D913" s="120" t="s">
        <v>302</v>
      </c>
      <c r="E913" s="120" t="s">
        <v>235</v>
      </c>
      <c r="F913" s="120" t="s">
        <v>84</v>
      </c>
      <c r="G913" s="121">
        <f>G914</f>
        <v>2018</v>
      </c>
      <c r="H913" s="134">
        <f t="shared" si="458"/>
        <v>-5</v>
      </c>
      <c r="I913" s="121">
        <f>I914</f>
        <v>2013</v>
      </c>
      <c r="J913" s="121">
        <f t="shared" ref="J913" si="466">J914</f>
        <v>1127.1610000000001</v>
      </c>
      <c r="K913" s="121">
        <f>K914</f>
        <v>2013</v>
      </c>
      <c r="L913" s="121">
        <f t="shared" si="462"/>
        <v>100</v>
      </c>
    </row>
    <row r="914" spans="1:12" s="184" customFormat="1" ht="24">
      <c r="A914" s="119" t="s">
        <v>85</v>
      </c>
      <c r="B914" s="120" t="s">
        <v>391</v>
      </c>
      <c r="C914" s="120" t="s">
        <v>76</v>
      </c>
      <c r="D914" s="120" t="s">
        <v>302</v>
      </c>
      <c r="E914" s="120" t="s">
        <v>235</v>
      </c>
      <c r="F914" s="120" t="s">
        <v>86</v>
      </c>
      <c r="G914" s="121">
        <f>294+70+30+1008+70+50+496</f>
        <v>2018</v>
      </c>
      <c r="H914" s="134">
        <f t="shared" si="458"/>
        <v>-5</v>
      </c>
      <c r="I914" s="121">
        <f>294+70+30+1008+70+50+496-5</f>
        <v>2013</v>
      </c>
      <c r="J914" s="121">
        <v>1127.1610000000001</v>
      </c>
      <c r="K914" s="121">
        <f>294+70+30+1008+70+50+496-5</f>
        <v>2013</v>
      </c>
      <c r="L914" s="121">
        <f t="shared" si="462"/>
        <v>100</v>
      </c>
    </row>
    <row r="915" spans="1:12" s="184" customFormat="1">
      <c r="A915" s="119" t="s">
        <v>87</v>
      </c>
      <c r="B915" s="120" t="s">
        <v>391</v>
      </c>
      <c r="C915" s="120" t="s">
        <v>76</v>
      </c>
      <c r="D915" s="120" t="s">
        <v>302</v>
      </c>
      <c r="E915" s="120" t="s">
        <v>235</v>
      </c>
      <c r="F915" s="120" t="s">
        <v>88</v>
      </c>
      <c r="G915" s="121">
        <f>G916</f>
        <v>38</v>
      </c>
      <c r="H915" s="134">
        <f t="shared" si="458"/>
        <v>0</v>
      </c>
      <c r="I915" s="121">
        <f>I916</f>
        <v>38</v>
      </c>
      <c r="J915" s="121">
        <f t="shared" ref="J915" si="467">J916</f>
        <v>26.437999999999999</v>
      </c>
      <c r="K915" s="121">
        <f>K916</f>
        <v>38</v>
      </c>
      <c r="L915" s="121">
        <f t="shared" si="462"/>
        <v>100</v>
      </c>
    </row>
    <row r="916" spans="1:12" s="184" customFormat="1">
      <c r="A916" s="119" t="s">
        <v>514</v>
      </c>
      <c r="B916" s="120" t="s">
        <v>391</v>
      </c>
      <c r="C916" s="120" t="s">
        <v>76</v>
      </c>
      <c r="D916" s="120" t="s">
        <v>302</v>
      </c>
      <c r="E916" s="120" t="s">
        <v>235</v>
      </c>
      <c r="F916" s="120" t="s">
        <v>89</v>
      </c>
      <c r="G916" s="121">
        <v>38</v>
      </c>
      <c r="H916" s="134">
        <f t="shared" si="458"/>
        <v>0</v>
      </c>
      <c r="I916" s="121">
        <v>38</v>
      </c>
      <c r="J916" s="121">
        <v>26.437999999999999</v>
      </c>
      <c r="K916" s="121">
        <v>38</v>
      </c>
      <c r="L916" s="121">
        <f t="shared" si="462"/>
        <v>100</v>
      </c>
    </row>
    <row r="917" spans="1:12" s="184" customFormat="1">
      <c r="A917" s="110" t="s">
        <v>318</v>
      </c>
      <c r="B917" s="111" t="s">
        <v>391</v>
      </c>
      <c r="C917" s="111" t="s">
        <v>76</v>
      </c>
      <c r="D917" s="111" t="s">
        <v>93</v>
      </c>
      <c r="E917" s="120"/>
      <c r="F917" s="111"/>
      <c r="G917" s="112" t="e">
        <f>G918</f>
        <v>#REF!</v>
      </c>
      <c r="H917" s="134" t="e">
        <f t="shared" si="458"/>
        <v>#REF!</v>
      </c>
      <c r="I917" s="112">
        <f>I918</f>
        <v>5</v>
      </c>
      <c r="J917" s="134">
        <f t="shared" ref="J917:J920" si="468">J918</f>
        <v>0</v>
      </c>
      <c r="K917" s="112">
        <f>K918</f>
        <v>5</v>
      </c>
      <c r="L917" s="112">
        <f t="shared" si="462"/>
        <v>100</v>
      </c>
    </row>
    <row r="918" spans="1:12" s="184" customFormat="1">
      <c r="A918" s="145" t="s">
        <v>74</v>
      </c>
      <c r="B918" s="125" t="s">
        <v>391</v>
      </c>
      <c r="C918" s="125" t="s">
        <v>76</v>
      </c>
      <c r="D918" s="125" t="s">
        <v>93</v>
      </c>
      <c r="E918" s="125" t="s">
        <v>214</v>
      </c>
      <c r="F918" s="125"/>
      <c r="G918" s="126" t="e">
        <f>G919</f>
        <v>#REF!</v>
      </c>
      <c r="H918" s="134" t="e">
        <f t="shared" si="458"/>
        <v>#REF!</v>
      </c>
      <c r="I918" s="126">
        <f>I919</f>
        <v>5</v>
      </c>
      <c r="J918" s="136">
        <f t="shared" si="468"/>
        <v>0</v>
      </c>
      <c r="K918" s="126">
        <f>K919</f>
        <v>5</v>
      </c>
      <c r="L918" s="126">
        <f t="shared" si="462"/>
        <v>100</v>
      </c>
    </row>
    <row r="919" spans="1:12" s="184" customFormat="1">
      <c r="A919" s="110" t="s">
        <v>304</v>
      </c>
      <c r="B919" s="111" t="s">
        <v>391</v>
      </c>
      <c r="C919" s="111" t="s">
        <v>76</v>
      </c>
      <c r="D919" s="111" t="s">
        <v>93</v>
      </c>
      <c r="E919" s="111" t="s">
        <v>215</v>
      </c>
      <c r="F919" s="169"/>
      <c r="G919" s="112" t="e">
        <f>G920+#REF!</f>
        <v>#REF!</v>
      </c>
      <c r="H919" s="134" t="e">
        <f t="shared" si="458"/>
        <v>#REF!</v>
      </c>
      <c r="I919" s="112">
        <f>I920</f>
        <v>5</v>
      </c>
      <c r="J919" s="134">
        <f t="shared" si="468"/>
        <v>0</v>
      </c>
      <c r="K919" s="112">
        <f>K920</f>
        <v>5</v>
      </c>
      <c r="L919" s="112">
        <f t="shared" si="462"/>
        <v>100</v>
      </c>
    </row>
    <row r="920" spans="1:12" s="184" customFormat="1">
      <c r="A920" s="110" t="s">
        <v>319</v>
      </c>
      <c r="B920" s="111" t="s">
        <v>391</v>
      </c>
      <c r="C920" s="111" t="s">
        <v>76</v>
      </c>
      <c r="D920" s="111" t="s">
        <v>93</v>
      </c>
      <c r="E920" s="142" t="s">
        <v>344</v>
      </c>
      <c r="F920" s="111"/>
      <c r="G920" s="134">
        <f>G921</f>
        <v>1950</v>
      </c>
      <c r="H920" s="134">
        <f t="shared" si="458"/>
        <v>-1945</v>
      </c>
      <c r="I920" s="134">
        <f>I921</f>
        <v>5</v>
      </c>
      <c r="J920" s="134">
        <f t="shared" si="468"/>
        <v>0</v>
      </c>
      <c r="K920" s="134">
        <f>K921</f>
        <v>5</v>
      </c>
      <c r="L920" s="112">
        <f t="shared" si="462"/>
        <v>100</v>
      </c>
    </row>
    <row r="921" spans="1:12" s="184" customFormat="1">
      <c r="A921" s="119" t="s">
        <v>87</v>
      </c>
      <c r="B921" s="120" t="s">
        <v>391</v>
      </c>
      <c r="C921" s="120" t="s">
        <v>76</v>
      </c>
      <c r="D921" s="120" t="s">
        <v>93</v>
      </c>
      <c r="E921" s="130" t="s">
        <v>344</v>
      </c>
      <c r="F921" s="120" t="s">
        <v>88</v>
      </c>
      <c r="G921" s="135">
        <f>G922+G923</f>
        <v>1950</v>
      </c>
      <c r="H921" s="134">
        <f t="shared" si="458"/>
        <v>-1945</v>
      </c>
      <c r="I921" s="135">
        <f>I922+I923</f>
        <v>5</v>
      </c>
      <c r="J921" s="135">
        <f t="shared" ref="J921" si="469">J922+J923</f>
        <v>0</v>
      </c>
      <c r="K921" s="135">
        <f>K922+K923</f>
        <v>5</v>
      </c>
      <c r="L921" s="121">
        <f t="shared" si="462"/>
        <v>100</v>
      </c>
    </row>
    <row r="922" spans="1:12">
      <c r="A922" s="119" t="s">
        <v>150</v>
      </c>
      <c r="B922" s="120" t="s">
        <v>391</v>
      </c>
      <c r="C922" s="120" t="s">
        <v>76</v>
      </c>
      <c r="D922" s="120" t="s">
        <v>93</v>
      </c>
      <c r="E922" s="130" t="s">
        <v>344</v>
      </c>
      <c r="F922" s="120" t="s">
        <v>154</v>
      </c>
      <c r="G922" s="135">
        <v>1950</v>
      </c>
      <c r="H922" s="134">
        <f t="shared" si="458"/>
        <v>-1945</v>
      </c>
      <c r="I922" s="135">
        <v>5</v>
      </c>
      <c r="J922" s="135">
        <v>0</v>
      </c>
      <c r="K922" s="135">
        <v>5</v>
      </c>
      <c r="L922" s="121">
        <f t="shared" si="462"/>
        <v>100</v>
      </c>
    </row>
    <row r="923" spans="1:12">
      <c r="A923" s="49"/>
      <c r="B923" s="8"/>
      <c r="C923" s="8"/>
      <c r="D923" s="8"/>
      <c r="E923" s="8"/>
      <c r="F923" s="8"/>
      <c r="K923" s="234"/>
    </row>
    <row r="924" spans="1:12" ht="15.75">
      <c r="A924" s="258" t="s">
        <v>796</v>
      </c>
      <c r="B924" s="258"/>
      <c r="C924" s="258"/>
      <c r="D924" s="8"/>
      <c r="E924" s="8"/>
      <c r="F924" s="8"/>
    </row>
    <row r="925" spans="1:12">
      <c r="A925" s="49"/>
      <c r="B925" s="8"/>
      <c r="C925" s="8"/>
      <c r="D925" s="8"/>
      <c r="E925" s="8"/>
      <c r="F925" s="8"/>
    </row>
    <row r="926" spans="1:12">
      <c r="A926" s="49"/>
      <c r="B926" s="8"/>
      <c r="C926" s="8"/>
      <c r="D926" s="8"/>
      <c r="E926" s="8"/>
      <c r="F926" s="8"/>
    </row>
    <row r="927" spans="1:12">
      <c r="A927" s="49"/>
      <c r="B927" s="8"/>
      <c r="C927" s="8"/>
      <c r="D927" s="8"/>
      <c r="E927" s="8"/>
      <c r="F927" s="8"/>
    </row>
    <row r="928" spans="1:12">
      <c r="A928" s="49"/>
      <c r="B928" s="8"/>
      <c r="C928" s="8"/>
      <c r="D928" s="8"/>
      <c r="E928" s="8"/>
      <c r="F928" s="8"/>
    </row>
    <row r="929" spans="1:6">
      <c r="A929" s="49"/>
      <c r="B929" s="8"/>
      <c r="C929" s="8"/>
      <c r="D929" s="8"/>
      <c r="E929" s="8"/>
      <c r="F929" s="8"/>
    </row>
    <row r="930" spans="1:6">
      <c r="A930" s="49"/>
      <c r="B930" s="8"/>
      <c r="C930" s="8"/>
      <c r="D930" s="8"/>
      <c r="E930" s="8"/>
      <c r="F930" s="8"/>
    </row>
    <row r="931" spans="1:6">
      <c r="A931" s="49"/>
      <c r="B931" s="8"/>
      <c r="C931" s="8"/>
      <c r="D931" s="8"/>
      <c r="E931" s="8"/>
      <c r="F931" s="8"/>
    </row>
    <row r="932" spans="1:6">
      <c r="A932" s="49"/>
      <c r="B932" s="8"/>
      <c r="C932" s="8"/>
      <c r="D932" s="8"/>
      <c r="E932" s="8"/>
      <c r="F932" s="8"/>
    </row>
    <row r="933" spans="1:6">
      <c r="A933" s="49"/>
      <c r="B933" s="8"/>
      <c r="C933" s="8"/>
      <c r="D933" s="8"/>
      <c r="E933" s="8"/>
      <c r="F933" s="8"/>
    </row>
    <row r="934" spans="1:6">
      <c r="A934" s="49"/>
      <c r="B934" s="8"/>
      <c r="C934" s="8"/>
      <c r="D934" s="8"/>
      <c r="E934" s="8"/>
      <c r="F934" s="8"/>
    </row>
    <row r="935" spans="1:6">
      <c r="A935" s="49"/>
      <c r="B935" s="8"/>
      <c r="C935" s="8"/>
      <c r="D935" s="8"/>
      <c r="E935" s="8"/>
      <c r="F935" s="8"/>
    </row>
    <row r="936" spans="1:6">
      <c r="A936" s="49"/>
      <c r="B936" s="8"/>
      <c r="C936" s="8"/>
      <c r="D936" s="8"/>
      <c r="E936" s="8"/>
      <c r="F936" s="8"/>
    </row>
    <row r="937" spans="1:6">
      <c r="A937" s="49"/>
      <c r="B937" s="8"/>
      <c r="C937" s="8"/>
      <c r="D937" s="8"/>
      <c r="E937" s="8"/>
      <c r="F937" s="8"/>
    </row>
    <row r="938" spans="1:6">
      <c r="A938" s="49"/>
      <c r="B938" s="8"/>
      <c r="C938" s="8"/>
      <c r="D938" s="8"/>
      <c r="E938" s="8"/>
      <c r="F938" s="8"/>
    </row>
    <row r="939" spans="1:6">
      <c r="A939" s="49"/>
      <c r="B939" s="8"/>
      <c r="C939" s="8"/>
      <c r="D939" s="8"/>
      <c r="E939" s="8"/>
      <c r="F939" s="8"/>
    </row>
    <row r="940" spans="1:6">
      <c r="A940" s="49"/>
      <c r="B940" s="8"/>
      <c r="C940" s="8"/>
      <c r="D940" s="8"/>
      <c r="E940" s="8"/>
      <c r="F940" s="8"/>
    </row>
    <row r="941" spans="1:6">
      <c r="A941" s="49"/>
      <c r="B941" s="8"/>
      <c r="C941" s="8"/>
      <c r="D941" s="8"/>
      <c r="E941" s="8"/>
      <c r="F941" s="8"/>
    </row>
    <row r="942" spans="1:6">
      <c r="A942" s="49"/>
      <c r="B942" s="8"/>
      <c r="C942" s="8"/>
      <c r="D942" s="8"/>
      <c r="E942" s="8"/>
      <c r="F942" s="8"/>
    </row>
    <row r="943" spans="1:6">
      <c r="A943" s="49"/>
      <c r="B943" s="8"/>
      <c r="C943" s="8"/>
      <c r="D943" s="8"/>
      <c r="E943" s="8"/>
      <c r="F943" s="8"/>
    </row>
    <row r="944" spans="1:6">
      <c r="A944" s="49"/>
      <c r="B944" s="8"/>
      <c r="C944" s="8"/>
      <c r="D944" s="8"/>
      <c r="E944" s="8"/>
      <c r="F944" s="8"/>
    </row>
    <row r="945" spans="1:6">
      <c r="A945" s="49"/>
      <c r="B945" s="8"/>
      <c r="C945" s="8"/>
      <c r="D945" s="8"/>
      <c r="E945" s="8"/>
      <c r="F945" s="8"/>
    </row>
    <row r="946" spans="1:6">
      <c r="A946" s="49"/>
      <c r="B946" s="8"/>
      <c r="C946" s="8"/>
      <c r="D946" s="8"/>
      <c r="E946" s="8"/>
      <c r="F946" s="8"/>
    </row>
    <row r="947" spans="1:6">
      <c r="A947" s="49"/>
      <c r="B947" s="8"/>
      <c r="C947" s="8"/>
      <c r="D947" s="8"/>
      <c r="E947" s="8"/>
      <c r="F947" s="8"/>
    </row>
    <row r="948" spans="1:6">
      <c r="A948" s="49"/>
      <c r="B948" s="8"/>
      <c r="C948" s="8"/>
      <c r="D948" s="8"/>
      <c r="E948" s="8"/>
      <c r="F948" s="8"/>
    </row>
    <row r="949" spans="1:6">
      <c r="A949" s="49"/>
      <c r="B949" s="8"/>
      <c r="C949" s="8"/>
      <c r="D949" s="8"/>
      <c r="E949" s="8"/>
      <c r="F949" s="8"/>
    </row>
    <row r="950" spans="1:6">
      <c r="A950" s="49"/>
      <c r="B950" s="8"/>
      <c r="C950" s="8"/>
      <c r="D950" s="8"/>
      <c r="E950" s="8"/>
      <c r="F950" s="8"/>
    </row>
    <row r="951" spans="1:6">
      <c r="A951" s="49"/>
      <c r="B951" s="8"/>
      <c r="C951" s="8"/>
      <c r="D951" s="8"/>
      <c r="E951" s="8"/>
      <c r="F951" s="8"/>
    </row>
    <row r="952" spans="1:6">
      <c r="A952" s="49"/>
      <c r="B952" s="8"/>
      <c r="C952" s="8"/>
      <c r="D952" s="8"/>
      <c r="E952" s="8"/>
      <c r="F952" s="8"/>
    </row>
    <row r="953" spans="1:6">
      <c r="A953" s="49"/>
      <c r="B953" s="8"/>
      <c r="C953" s="8"/>
      <c r="D953" s="8"/>
      <c r="E953" s="8"/>
      <c r="F953" s="8"/>
    </row>
    <row r="954" spans="1:6">
      <c r="A954" s="49"/>
      <c r="B954" s="8"/>
      <c r="C954" s="8"/>
      <c r="D954" s="8"/>
      <c r="E954" s="8"/>
      <c r="F954" s="8"/>
    </row>
    <row r="955" spans="1:6">
      <c r="A955" s="49"/>
      <c r="B955" s="8"/>
      <c r="C955" s="8"/>
      <c r="D955" s="8"/>
      <c r="E955" s="8"/>
      <c r="F955" s="8"/>
    </row>
    <row r="956" spans="1:6">
      <c r="A956" s="49"/>
      <c r="B956" s="8"/>
      <c r="C956" s="8"/>
      <c r="D956" s="8"/>
      <c r="E956" s="8"/>
      <c r="F956" s="8"/>
    </row>
    <row r="957" spans="1:6">
      <c r="A957" s="49"/>
      <c r="B957" s="8"/>
      <c r="C957" s="8"/>
      <c r="D957" s="8"/>
      <c r="E957" s="8"/>
      <c r="F957" s="8"/>
    </row>
    <row r="958" spans="1:6">
      <c r="A958" s="49"/>
      <c r="B958" s="8"/>
      <c r="C958" s="8"/>
      <c r="D958" s="8"/>
      <c r="E958" s="8"/>
      <c r="F958" s="8"/>
    </row>
    <row r="959" spans="1:6">
      <c r="A959" s="49"/>
      <c r="B959" s="8"/>
      <c r="C959" s="8"/>
      <c r="D959" s="8"/>
      <c r="E959" s="8"/>
      <c r="F959" s="8"/>
    </row>
    <row r="960" spans="1:6">
      <c r="A960" s="49"/>
      <c r="B960" s="8"/>
      <c r="C960" s="8"/>
      <c r="D960" s="8"/>
      <c r="E960" s="8"/>
      <c r="F960" s="8"/>
    </row>
    <row r="961" spans="1:6">
      <c r="A961" s="49"/>
      <c r="B961" s="8"/>
      <c r="C961" s="8"/>
      <c r="D961" s="8"/>
      <c r="E961" s="8"/>
      <c r="F961" s="8"/>
    </row>
    <row r="962" spans="1:6">
      <c r="A962" s="49"/>
      <c r="B962" s="8"/>
      <c r="C962" s="8"/>
      <c r="D962" s="8"/>
      <c r="E962" s="8"/>
      <c r="F962" s="8"/>
    </row>
    <row r="963" spans="1:6">
      <c r="A963" s="49"/>
      <c r="B963" s="8"/>
      <c r="C963" s="8"/>
      <c r="D963" s="8"/>
      <c r="E963" s="8"/>
      <c r="F963" s="8"/>
    </row>
    <row r="964" spans="1:6">
      <c r="A964" s="49"/>
      <c r="B964" s="8"/>
      <c r="C964" s="8"/>
      <c r="D964" s="8"/>
      <c r="E964" s="8"/>
      <c r="F964" s="8"/>
    </row>
    <row r="965" spans="1:6">
      <c r="A965" s="49"/>
      <c r="B965" s="8"/>
      <c r="C965" s="8"/>
      <c r="D965" s="8"/>
      <c r="E965" s="8"/>
      <c r="F965" s="8"/>
    </row>
    <row r="966" spans="1:6">
      <c r="A966" s="49"/>
      <c r="B966" s="8"/>
      <c r="C966" s="8"/>
      <c r="D966" s="8"/>
      <c r="E966" s="8"/>
      <c r="F966" s="8"/>
    </row>
    <row r="967" spans="1:6">
      <c r="A967" s="49"/>
      <c r="B967" s="8"/>
      <c r="C967" s="8"/>
      <c r="D967" s="8"/>
      <c r="E967" s="8"/>
      <c r="F967" s="8"/>
    </row>
    <row r="968" spans="1:6">
      <c r="A968" s="49"/>
      <c r="B968" s="8"/>
      <c r="C968" s="8"/>
      <c r="D968" s="8"/>
      <c r="E968" s="8"/>
      <c r="F968" s="8"/>
    </row>
    <row r="969" spans="1:6">
      <c r="A969" s="49"/>
      <c r="B969" s="8"/>
      <c r="C969" s="8"/>
      <c r="D969" s="8"/>
      <c r="E969" s="8"/>
      <c r="F969" s="8"/>
    </row>
    <row r="970" spans="1:6">
      <c r="A970" s="49"/>
      <c r="B970" s="8"/>
      <c r="C970" s="8"/>
      <c r="D970" s="8"/>
      <c r="E970" s="8"/>
      <c r="F970" s="8"/>
    </row>
    <row r="971" spans="1:6">
      <c r="A971" s="49"/>
      <c r="B971" s="8"/>
      <c r="C971" s="8"/>
      <c r="D971" s="8"/>
      <c r="E971" s="8"/>
      <c r="F971" s="8"/>
    </row>
    <row r="972" spans="1:6">
      <c r="A972" s="49"/>
      <c r="B972" s="8"/>
      <c r="C972" s="8"/>
      <c r="D972" s="8"/>
      <c r="E972" s="8"/>
      <c r="F972" s="8"/>
    </row>
    <row r="973" spans="1:6">
      <c r="A973" s="49"/>
      <c r="B973" s="8"/>
      <c r="C973" s="8"/>
      <c r="D973" s="8"/>
      <c r="E973" s="8"/>
      <c r="F973" s="8"/>
    </row>
    <row r="974" spans="1:6">
      <c r="A974" s="49"/>
      <c r="B974" s="8"/>
      <c r="C974" s="8"/>
      <c r="D974" s="8"/>
      <c r="E974" s="8"/>
      <c r="F974" s="8"/>
    </row>
    <row r="975" spans="1:6">
      <c r="A975" s="49"/>
      <c r="B975" s="8"/>
      <c r="C975" s="8"/>
      <c r="D975" s="8"/>
      <c r="E975" s="8"/>
      <c r="F975" s="8"/>
    </row>
    <row r="976" spans="1:6">
      <c r="A976" s="49"/>
      <c r="B976" s="8"/>
      <c r="C976" s="8"/>
      <c r="D976" s="8"/>
      <c r="E976" s="8"/>
      <c r="F976" s="8"/>
    </row>
    <row r="977" spans="1:6">
      <c r="A977" s="49"/>
      <c r="B977" s="8"/>
      <c r="C977" s="8"/>
      <c r="D977" s="8"/>
      <c r="E977" s="8"/>
      <c r="F977" s="8"/>
    </row>
    <row r="978" spans="1:6">
      <c r="A978" s="49"/>
      <c r="B978" s="8"/>
      <c r="C978" s="8"/>
      <c r="D978" s="8"/>
      <c r="E978" s="8"/>
      <c r="F978" s="8"/>
    </row>
    <row r="979" spans="1:6">
      <c r="A979" s="49"/>
      <c r="B979" s="8"/>
      <c r="C979" s="8"/>
      <c r="D979" s="8"/>
      <c r="E979" s="8"/>
      <c r="F979" s="8"/>
    </row>
    <row r="980" spans="1:6">
      <c r="A980" s="49"/>
      <c r="B980" s="8"/>
      <c r="C980" s="8"/>
      <c r="D980" s="8"/>
      <c r="E980" s="8"/>
      <c r="F980" s="8"/>
    </row>
    <row r="981" spans="1:6">
      <c r="A981" s="49"/>
      <c r="B981" s="8"/>
      <c r="C981" s="8"/>
      <c r="D981" s="8"/>
      <c r="E981" s="8"/>
      <c r="F981" s="8"/>
    </row>
    <row r="982" spans="1:6">
      <c r="A982" s="49"/>
      <c r="B982" s="8"/>
      <c r="C982" s="8"/>
      <c r="D982" s="8"/>
      <c r="E982" s="8"/>
      <c r="F982" s="8"/>
    </row>
    <row r="983" spans="1:6">
      <c r="A983" s="49"/>
      <c r="B983" s="8"/>
      <c r="C983" s="8"/>
      <c r="D983" s="8"/>
      <c r="E983" s="8"/>
      <c r="F983" s="8"/>
    </row>
    <row r="984" spans="1:6">
      <c r="A984" s="49"/>
      <c r="B984" s="8"/>
      <c r="C984" s="8"/>
      <c r="D984" s="8"/>
      <c r="E984" s="8"/>
      <c r="F984" s="8"/>
    </row>
    <row r="985" spans="1:6">
      <c r="A985" s="49"/>
      <c r="B985" s="8"/>
      <c r="C985" s="8"/>
      <c r="D985" s="8"/>
      <c r="E985" s="8"/>
      <c r="F985" s="8"/>
    </row>
    <row r="986" spans="1:6">
      <c r="A986" s="49"/>
      <c r="B986" s="8"/>
      <c r="C986" s="8"/>
      <c r="D986" s="8"/>
      <c r="E986" s="8"/>
      <c r="F986" s="8"/>
    </row>
    <row r="987" spans="1:6">
      <c r="A987" s="49"/>
      <c r="B987" s="8"/>
      <c r="C987" s="8"/>
      <c r="D987" s="8"/>
      <c r="E987" s="8"/>
      <c r="F987" s="8"/>
    </row>
    <row r="988" spans="1:6">
      <c r="A988" s="49"/>
      <c r="B988" s="8"/>
      <c r="C988" s="8"/>
      <c r="D988" s="8"/>
      <c r="E988" s="8"/>
      <c r="F988" s="8"/>
    </row>
    <row r="989" spans="1:6">
      <c r="A989" s="49"/>
      <c r="B989" s="8"/>
      <c r="C989" s="8"/>
      <c r="D989" s="8"/>
      <c r="E989" s="8"/>
      <c r="F989" s="8"/>
    </row>
    <row r="990" spans="1:6">
      <c r="A990" s="49"/>
      <c r="B990" s="8"/>
      <c r="C990" s="8"/>
      <c r="D990" s="8"/>
      <c r="E990" s="8"/>
      <c r="F990" s="8"/>
    </row>
    <row r="991" spans="1:6">
      <c r="A991" s="49"/>
      <c r="B991" s="8"/>
      <c r="C991" s="8"/>
      <c r="D991" s="8"/>
      <c r="E991" s="8"/>
      <c r="F991" s="8"/>
    </row>
    <row r="992" spans="1:6">
      <c r="A992" s="49"/>
      <c r="B992" s="8"/>
      <c r="C992" s="8"/>
      <c r="D992" s="8"/>
      <c r="E992" s="8"/>
      <c r="F992" s="8"/>
    </row>
    <row r="993" spans="1:6">
      <c r="A993" s="49"/>
      <c r="B993" s="8"/>
      <c r="C993" s="8"/>
      <c r="D993" s="8"/>
      <c r="E993" s="8"/>
      <c r="F993" s="8"/>
    </row>
    <row r="994" spans="1:6">
      <c r="A994" s="49"/>
      <c r="B994" s="8"/>
      <c r="C994" s="8"/>
      <c r="D994" s="8"/>
      <c r="E994" s="8"/>
      <c r="F994" s="8"/>
    </row>
    <row r="995" spans="1:6">
      <c r="A995" s="49"/>
      <c r="B995" s="8"/>
      <c r="C995" s="8"/>
      <c r="D995" s="8"/>
      <c r="E995" s="8"/>
      <c r="F995" s="8"/>
    </row>
    <row r="996" spans="1:6">
      <c r="A996" s="49"/>
      <c r="B996" s="8"/>
      <c r="C996" s="8"/>
      <c r="D996" s="8"/>
      <c r="E996" s="8"/>
      <c r="F996" s="8"/>
    </row>
    <row r="997" spans="1:6">
      <c r="A997" s="49"/>
      <c r="B997" s="8"/>
      <c r="C997" s="8"/>
      <c r="D997" s="8"/>
      <c r="E997" s="8"/>
      <c r="F997" s="8"/>
    </row>
    <row r="998" spans="1:6">
      <c r="A998" s="49"/>
      <c r="B998" s="8"/>
      <c r="C998" s="8"/>
      <c r="D998" s="8"/>
      <c r="E998" s="8"/>
      <c r="F998" s="8"/>
    </row>
    <row r="999" spans="1:6">
      <c r="A999" s="49"/>
      <c r="B999" s="8"/>
      <c r="C999" s="8"/>
      <c r="D999" s="8"/>
      <c r="E999" s="8"/>
      <c r="F999" s="8"/>
    </row>
    <row r="1000" spans="1:6">
      <c r="A1000" s="49"/>
      <c r="B1000" s="8"/>
      <c r="C1000" s="8"/>
      <c r="D1000" s="8"/>
      <c r="E1000" s="8"/>
      <c r="F1000" s="8"/>
    </row>
    <row r="1001" spans="1:6">
      <c r="A1001" s="49"/>
      <c r="B1001" s="8"/>
      <c r="C1001" s="8"/>
      <c r="D1001" s="8"/>
      <c r="E1001" s="8"/>
      <c r="F1001" s="8"/>
    </row>
    <row r="1002" spans="1:6">
      <c r="A1002" s="49"/>
      <c r="B1002" s="8"/>
      <c r="C1002" s="8"/>
      <c r="D1002" s="8"/>
      <c r="E1002" s="8"/>
      <c r="F1002" s="8"/>
    </row>
    <row r="1003" spans="1:6">
      <c r="A1003" s="49"/>
      <c r="B1003" s="8"/>
      <c r="C1003" s="8"/>
      <c r="D1003" s="8"/>
      <c r="E1003" s="8"/>
      <c r="F1003" s="8"/>
    </row>
    <row r="1004" spans="1:6">
      <c r="A1004" s="49"/>
      <c r="B1004" s="8"/>
      <c r="C1004" s="8"/>
      <c r="D1004" s="8"/>
    </row>
    <row r="1005" spans="1:6">
      <c r="A1005" s="49"/>
      <c r="B1005" s="8"/>
      <c r="C1005" s="8"/>
      <c r="D1005" s="8"/>
    </row>
  </sheetData>
  <autoFilter ref="A5:L922"/>
  <mergeCells count="4">
    <mergeCell ref="A1:F1"/>
    <mergeCell ref="A2:K2"/>
    <mergeCell ref="A4:L4"/>
    <mergeCell ref="A924:C924"/>
  </mergeCells>
  <phoneticPr fontId="2" type="noConversion"/>
  <pageMargins left="0.59055118110236227" right="0.39370078740157483" top="0.39370078740157483" bottom="0.39370078740157483" header="0" footer="0"/>
  <pageSetup paperSize="9" scale="87" orientation="landscape" useFirstPageNumber="1" r:id="rId1"/>
  <headerFooter alignWithMargins="0">
    <oddFooter>&amp;C&amp;P</oddFooter>
  </headerFooter>
  <rowBreaks count="1" manualBreakCount="1">
    <brk id="77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12"/>
  </sheetPr>
  <dimension ref="A1:K921"/>
  <sheetViews>
    <sheetView view="pageBreakPreview" zoomScale="130" zoomScaleNormal="130" zoomScaleSheetLayoutView="130" workbookViewId="0">
      <selection activeCell="D16" sqref="D16"/>
    </sheetView>
  </sheetViews>
  <sheetFormatPr defaultRowHeight="12.75"/>
  <cols>
    <col min="1" max="1" width="76.28515625" style="1" customWidth="1"/>
    <col min="2" max="3" width="7.5703125" style="20" customWidth="1"/>
    <col min="4" max="4" width="13.42578125" style="20" customWidth="1"/>
    <col min="5" max="5" width="9.42578125" style="20" customWidth="1"/>
    <col min="6" max="7" width="12.85546875" style="30" hidden="1" customWidth="1"/>
    <col min="8" max="8" width="14.85546875" style="30" customWidth="1"/>
    <col min="9" max="9" width="13.7109375" customWidth="1"/>
    <col min="10" max="10" width="14.42578125" customWidth="1"/>
  </cols>
  <sheetData>
    <row r="1" spans="1:11" ht="15">
      <c r="A1" s="266"/>
      <c r="B1" s="266"/>
      <c r="C1" s="266"/>
      <c r="D1" s="266"/>
      <c r="E1" s="266"/>
      <c r="F1" s="266"/>
      <c r="G1" s="266"/>
      <c r="H1" s="266"/>
    </row>
    <row r="2" spans="1:11" ht="81" customHeight="1">
      <c r="A2" s="267" t="s">
        <v>784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</row>
    <row r="3" spans="1:11" ht="8.25" customHeight="1">
      <c r="A3" s="90"/>
      <c r="B3" s="90"/>
      <c r="C3" s="90"/>
      <c r="D3" s="90"/>
      <c r="E3" s="90"/>
    </row>
    <row r="4" spans="1:11">
      <c r="A4" s="265" t="s">
        <v>470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</row>
    <row r="5" spans="1:11" ht="36">
      <c r="A5" s="57" t="s">
        <v>110</v>
      </c>
      <c r="B5" s="57" t="s">
        <v>33</v>
      </c>
      <c r="C5" s="57" t="s">
        <v>32</v>
      </c>
      <c r="D5" s="57" t="s">
        <v>111</v>
      </c>
      <c r="E5" s="57" t="s">
        <v>403</v>
      </c>
      <c r="F5" s="57" t="s">
        <v>160</v>
      </c>
      <c r="G5" s="57" t="s">
        <v>314</v>
      </c>
      <c r="H5" s="57" t="s">
        <v>778</v>
      </c>
      <c r="I5" s="224" t="s">
        <v>779</v>
      </c>
      <c r="J5" s="224" t="s">
        <v>783</v>
      </c>
      <c r="K5" s="3" t="s">
        <v>782</v>
      </c>
    </row>
    <row r="6" spans="1:11" ht="15.75">
      <c r="A6" s="60" t="s">
        <v>113</v>
      </c>
      <c r="B6" s="23"/>
      <c r="C6" s="23"/>
      <c r="D6" s="23"/>
      <c r="E6" s="23"/>
      <c r="F6" s="76" t="e">
        <f>F7+F162+F177+F293+#REF!+F489+F618+F681+F718+F742+F760</f>
        <v>#REF!</v>
      </c>
      <c r="G6" s="76" t="e">
        <f>H6-F6</f>
        <v>#REF!</v>
      </c>
      <c r="H6" s="76">
        <f>H7+H162+H177+H293+H489+H618+H681+H718+H742+H760</f>
        <v>5858489.762649999</v>
      </c>
      <c r="I6" s="76">
        <f>I7+I162+I177+I293+I489+I618+I681+I718+I742+I760</f>
        <v>4136150.7082400001</v>
      </c>
      <c r="J6" s="76">
        <f>J7+J162+J177+J293+J489+J618+J681+J718+J742+J760</f>
        <v>5546058.9690999985</v>
      </c>
      <c r="K6" s="76">
        <f>J6/H6*100</f>
        <v>94.66704208409034</v>
      </c>
    </row>
    <row r="7" spans="1:11">
      <c r="A7" s="165" t="s">
        <v>114</v>
      </c>
      <c r="B7" s="111" t="s">
        <v>76</v>
      </c>
      <c r="C7" s="111" t="s">
        <v>77</v>
      </c>
      <c r="D7" s="111"/>
      <c r="E7" s="111"/>
      <c r="F7" s="154" t="e">
        <f>F8+F15+F26+F43+F49+F72+F78</f>
        <v>#REF!</v>
      </c>
      <c r="G7" s="154" t="e">
        <f>H7-F7</f>
        <v>#REF!</v>
      </c>
      <c r="H7" s="154">
        <f>H8+H15+H26+H43+H49+H72+H78</f>
        <v>316265.28616000002</v>
      </c>
      <c r="I7" s="154">
        <f t="shared" ref="I7:J7" si="0">I8+I15+I26+I43+I49+I72+I78</f>
        <v>211615.93700000001</v>
      </c>
      <c r="J7" s="154">
        <f t="shared" si="0"/>
        <v>301779.18616000004</v>
      </c>
      <c r="K7" s="154">
        <f>J7/H7*100</f>
        <v>95.419636414768775</v>
      </c>
    </row>
    <row r="8" spans="1:11" ht="24">
      <c r="A8" s="110" t="s">
        <v>466</v>
      </c>
      <c r="B8" s="111" t="s">
        <v>76</v>
      </c>
      <c r="C8" s="111" t="s">
        <v>491</v>
      </c>
      <c r="D8" s="111"/>
      <c r="E8" s="111"/>
      <c r="F8" s="112">
        <f t="shared" ref="F8:J13" si="1">F9</f>
        <v>2000</v>
      </c>
      <c r="G8" s="154">
        <f t="shared" ref="G8:G71" si="2">H8-F8</f>
        <v>0</v>
      </c>
      <c r="H8" s="112">
        <f t="shared" si="1"/>
        <v>2000</v>
      </c>
      <c r="I8" s="112">
        <f t="shared" si="1"/>
        <v>1331.116</v>
      </c>
      <c r="J8" s="112">
        <f t="shared" si="1"/>
        <v>2000</v>
      </c>
      <c r="K8" s="112">
        <f>J8/H8*100</f>
        <v>100</v>
      </c>
    </row>
    <row r="9" spans="1:11">
      <c r="A9" s="124" t="s">
        <v>34</v>
      </c>
      <c r="B9" s="125" t="s">
        <v>76</v>
      </c>
      <c r="C9" s="125" t="s">
        <v>491</v>
      </c>
      <c r="D9" s="125" t="s">
        <v>220</v>
      </c>
      <c r="E9" s="125"/>
      <c r="F9" s="126">
        <f t="shared" si="1"/>
        <v>2000</v>
      </c>
      <c r="G9" s="154">
        <f t="shared" si="2"/>
        <v>0</v>
      </c>
      <c r="H9" s="126">
        <f t="shared" si="1"/>
        <v>2000</v>
      </c>
      <c r="I9" s="126">
        <f t="shared" si="1"/>
        <v>1331.116</v>
      </c>
      <c r="J9" s="126">
        <f t="shared" si="1"/>
        <v>2000</v>
      </c>
      <c r="K9" s="126">
        <f t="shared" ref="K9:K72" si="3">J9/H9*100</f>
        <v>100</v>
      </c>
    </row>
    <row r="10" spans="1:11">
      <c r="A10" s="110" t="s">
        <v>108</v>
      </c>
      <c r="B10" s="111" t="s">
        <v>76</v>
      </c>
      <c r="C10" s="111" t="s">
        <v>491</v>
      </c>
      <c r="D10" s="111" t="s">
        <v>221</v>
      </c>
      <c r="E10" s="111"/>
      <c r="F10" s="112">
        <f t="shared" si="1"/>
        <v>2000</v>
      </c>
      <c r="G10" s="154">
        <f t="shared" si="2"/>
        <v>0</v>
      </c>
      <c r="H10" s="112">
        <f t="shared" si="1"/>
        <v>2000</v>
      </c>
      <c r="I10" s="112">
        <f t="shared" si="1"/>
        <v>1331.116</v>
      </c>
      <c r="J10" s="112">
        <f t="shared" si="1"/>
        <v>2000</v>
      </c>
      <c r="K10" s="112">
        <f t="shared" si="3"/>
        <v>100</v>
      </c>
    </row>
    <row r="11" spans="1:11">
      <c r="A11" s="143" t="s">
        <v>310</v>
      </c>
      <c r="B11" s="139" t="s">
        <v>76</v>
      </c>
      <c r="C11" s="139" t="s">
        <v>491</v>
      </c>
      <c r="D11" s="139" t="s">
        <v>222</v>
      </c>
      <c r="E11" s="120"/>
      <c r="F11" s="144">
        <f t="shared" si="1"/>
        <v>2000</v>
      </c>
      <c r="G11" s="154">
        <f t="shared" si="2"/>
        <v>0</v>
      </c>
      <c r="H11" s="144">
        <f t="shared" si="1"/>
        <v>2000</v>
      </c>
      <c r="I11" s="144">
        <f t="shared" si="1"/>
        <v>1331.116</v>
      </c>
      <c r="J11" s="144">
        <f t="shared" si="1"/>
        <v>2000</v>
      </c>
      <c r="K11" s="144">
        <f t="shared" si="3"/>
        <v>100</v>
      </c>
    </row>
    <row r="12" spans="1:11">
      <c r="A12" s="175" t="s">
        <v>30</v>
      </c>
      <c r="B12" s="176" t="s">
        <v>76</v>
      </c>
      <c r="C12" s="176" t="s">
        <v>491</v>
      </c>
      <c r="D12" s="176" t="s">
        <v>223</v>
      </c>
      <c r="E12" s="177"/>
      <c r="F12" s="112">
        <f t="shared" si="1"/>
        <v>2000</v>
      </c>
      <c r="G12" s="154">
        <f t="shared" si="2"/>
        <v>0</v>
      </c>
      <c r="H12" s="112">
        <f t="shared" si="1"/>
        <v>2000</v>
      </c>
      <c r="I12" s="112">
        <f t="shared" si="1"/>
        <v>1331.116</v>
      </c>
      <c r="J12" s="112">
        <f t="shared" si="1"/>
        <v>2000</v>
      </c>
      <c r="K12" s="112">
        <f t="shared" si="3"/>
        <v>100</v>
      </c>
    </row>
    <row r="13" spans="1:11" ht="36">
      <c r="A13" s="119" t="s">
        <v>79</v>
      </c>
      <c r="B13" s="120" t="s">
        <v>76</v>
      </c>
      <c r="C13" s="120" t="s">
        <v>491</v>
      </c>
      <c r="D13" s="120" t="s">
        <v>224</v>
      </c>
      <c r="E13" s="120" t="s">
        <v>80</v>
      </c>
      <c r="F13" s="121">
        <f t="shared" si="1"/>
        <v>2000</v>
      </c>
      <c r="G13" s="154">
        <f t="shared" si="2"/>
        <v>0</v>
      </c>
      <c r="H13" s="121">
        <f t="shared" si="1"/>
        <v>2000</v>
      </c>
      <c r="I13" s="121">
        <f t="shared" si="1"/>
        <v>1331.116</v>
      </c>
      <c r="J13" s="121">
        <f t="shared" si="1"/>
        <v>2000</v>
      </c>
      <c r="K13" s="121">
        <f t="shared" si="3"/>
        <v>100</v>
      </c>
    </row>
    <row r="14" spans="1:11">
      <c r="A14" s="119" t="s">
        <v>81</v>
      </c>
      <c r="B14" s="120" t="s">
        <v>76</v>
      </c>
      <c r="C14" s="120" t="s">
        <v>491</v>
      </c>
      <c r="D14" s="120" t="s">
        <v>224</v>
      </c>
      <c r="E14" s="120" t="s">
        <v>82</v>
      </c>
      <c r="F14" s="121">
        <v>2000</v>
      </c>
      <c r="G14" s="154">
        <f t="shared" si="2"/>
        <v>0</v>
      </c>
      <c r="H14" s="121">
        <v>2000</v>
      </c>
      <c r="I14" s="121">
        <v>1331.116</v>
      </c>
      <c r="J14" s="121">
        <v>2000</v>
      </c>
      <c r="K14" s="121">
        <f t="shared" si="3"/>
        <v>100</v>
      </c>
    </row>
    <row r="15" spans="1:11" ht="24">
      <c r="A15" s="110" t="s">
        <v>311</v>
      </c>
      <c r="B15" s="111" t="s">
        <v>76</v>
      </c>
      <c r="C15" s="111" t="s">
        <v>483</v>
      </c>
      <c r="D15" s="111"/>
      <c r="E15" s="111"/>
      <c r="F15" s="112">
        <f>F16+F21</f>
        <v>24792</v>
      </c>
      <c r="G15" s="154">
        <f t="shared" si="2"/>
        <v>755.70000000000073</v>
      </c>
      <c r="H15" s="112">
        <f>H16+H21</f>
        <v>25547.7</v>
      </c>
      <c r="I15" s="112">
        <f t="shared" ref="I15:J15" si="4">I16+I21</f>
        <v>17528.402999999998</v>
      </c>
      <c r="J15" s="112">
        <f t="shared" si="4"/>
        <v>25547.7</v>
      </c>
      <c r="K15" s="112">
        <f t="shared" si="3"/>
        <v>100</v>
      </c>
    </row>
    <row r="16" spans="1:11" ht="24">
      <c r="A16" s="124" t="s">
        <v>29</v>
      </c>
      <c r="B16" s="125" t="s">
        <v>76</v>
      </c>
      <c r="C16" s="125" t="s">
        <v>483</v>
      </c>
      <c r="D16" s="151" t="s">
        <v>225</v>
      </c>
      <c r="E16" s="147"/>
      <c r="F16" s="126">
        <f>F17</f>
        <v>19762</v>
      </c>
      <c r="G16" s="154">
        <f t="shared" si="2"/>
        <v>0</v>
      </c>
      <c r="H16" s="126">
        <f>H17</f>
        <v>19762</v>
      </c>
      <c r="I16" s="126">
        <f t="shared" ref="I16:J19" si="5">I17</f>
        <v>14914.874</v>
      </c>
      <c r="J16" s="126">
        <f t="shared" si="5"/>
        <v>19762</v>
      </c>
      <c r="K16" s="126">
        <f t="shared" si="3"/>
        <v>100</v>
      </c>
    </row>
    <row r="17" spans="1:11">
      <c r="A17" s="110" t="s">
        <v>108</v>
      </c>
      <c r="B17" s="111" t="s">
        <v>76</v>
      </c>
      <c r="C17" s="111" t="s">
        <v>483</v>
      </c>
      <c r="D17" s="178" t="s">
        <v>137</v>
      </c>
      <c r="E17" s="150"/>
      <c r="F17" s="112">
        <f>F18</f>
        <v>19762</v>
      </c>
      <c r="G17" s="154">
        <f t="shared" si="2"/>
        <v>0</v>
      </c>
      <c r="H17" s="112">
        <f>H18</f>
        <v>19762</v>
      </c>
      <c r="I17" s="112">
        <f t="shared" si="5"/>
        <v>14914.874</v>
      </c>
      <c r="J17" s="112">
        <f t="shared" si="5"/>
        <v>19762</v>
      </c>
      <c r="K17" s="112">
        <f t="shared" si="3"/>
        <v>100</v>
      </c>
    </row>
    <row r="18" spans="1:11">
      <c r="A18" s="175" t="s">
        <v>30</v>
      </c>
      <c r="B18" s="176" t="s">
        <v>76</v>
      </c>
      <c r="C18" s="176" t="s">
        <v>483</v>
      </c>
      <c r="D18" s="176" t="s">
        <v>229</v>
      </c>
      <c r="E18" s="177"/>
      <c r="F18" s="112">
        <f>F19</f>
        <v>19762</v>
      </c>
      <c r="G18" s="154">
        <f t="shared" si="2"/>
        <v>0</v>
      </c>
      <c r="H18" s="112">
        <f>H19</f>
        <v>19762</v>
      </c>
      <c r="I18" s="112">
        <f t="shared" si="5"/>
        <v>14914.874</v>
      </c>
      <c r="J18" s="112">
        <f t="shared" si="5"/>
        <v>19762</v>
      </c>
      <c r="K18" s="112">
        <f t="shared" si="3"/>
        <v>100</v>
      </c>
    </row>
    <row r="19" spans="1:11" ht="36">
      <c r="A19" s="119" t="s">
        <v>79</v>
      </c>
      <c r="B19" s="120" t="s">
        <v>76</v>
      </c>
      <c r="C19" s="120" t="s">
        <v>483</v>
      </c>
      <c r="D19" s="120" t="s">
        <v>229</v>
      </c>
      <c r="E19" s="120" t="s">
        <v>80</v>
      </c>
      <c r="F19" s="121">
        <f>F20</f>
        <v>19762</v>
      </c>
      <c r="G19" s="154">
        <f t="shared" si="2"/>
        <v>0</v>
      </c>
      <c r="H19" s="121">
        <f>H20</f>
        <v>19762</v>
      </c>
      <c r="I19" s="121">
        <f t="shared" si="5"/>
        <v>14914.874</v>
      </c>
      <c r="J19" s="121">
        <f t="shared" si="5"/>
        <v>19762</v>
      </c>
      <c r="K19" s="121">
        <f t="shared" si="3"/>
        <v>100</v>
      </c>
    </row>
    <row r="20" spans="1:11">
      <c r="A20" s="119" t="s">
        <v>81</v>
      </c>
      <c r="B20" s="120" t="s">
        <v>76</v>
      </c>
      <c r="C20" s="120" t="s">
        <v>483</v>
      </c>
      <c r="D20" s="120" t="s">
        <v>229</v>
      </c>
      <c r="E20" s="120" t="s">
        <v>82</v>
      </c>
      <c r="F20" s="121">
        <f>14550+50+4380+62+720</f>
        <v>19762</v>
      </c>
      <c r="G20" s="154">
        <f t="shared" si="2"/>
        <v>0</v>
      </c>
      <c r="H20" s="121">
        <f>14550+50+4380+62+720</f>
        <v>19762</v>
      </c>
      <c r="I20" s="121">
        <v>14914.874</v>
      </c>
      <c r="J20" s="121">
        <f>14550+50+4380+62+720</f>
        <v>19762</v>
      </c>
      <c r="K20" s="121">
        <f t="shared" si="3"/>
        <v>100</v>
      </c>
    </row>
    <row r="21" spans="1:11">
      <c r="A21" s="110" t="s">
        <v>142</v>
      </c>
      <c r="B21" s="111" t="s">
        <v>76</v>
      </c>
      <c r="C21" s="111" t="s">
        <v>483</v>
      </c>
      <c r="D21" s="111" t="s">
        <v>230</v>
      </c>
      <c r="E21" s="120"/>
      <c r="F21" s="112">
        <f>F22+F24</f>
        <v>5030</v>
      </c>
      <c r="G21" s="154">
        <f t="shared" si="2"/>
        <v>755.69999999999982</v>
      </c>
      <c r="H21" s="112">
        <f>H22+H24</f>
        <v>5785.7</v>
      </c>
      <c r="I21" s="112">
        <f t="shared" ref="I21:J21" si="6">I22+I24</f>
        <v>2613.529</v>
      </c>
      <c r="J21" s="112">
        <f t="shared" si="6"/>
        <v>5785.7</v>
      </c>
      <c r="K21" s="112">
        <f t="shared" si="3"/>
        <v>100</v>
      </c>
    </row>
    <row r="22" spans="1:11">
      <c r="A22" s="119" t="s">
        <v>301</v>
      </c>
      <c r="B22" s="120" t="s">
        <v>76</v>
      </c>
      <c r="C22" s="120" t="s">
        <v>483</v>
      </c>
      <c r="D22" s="120" t="s">
        <v>230</v>
      </c>
      <c r="E22" s="120" t="s">
        <v>84</v>
      </c>
      <c r="F22" s="121">
        <f>F23</f>
        <v>5005</v>
      </c>
      <c r="G22" s="154">
        <f t="shared" si="2"/>
        <v>755.69999999999982</v>
      </c>
      <c r="H22" s="121">
        <f>H23</f>
        <v>5760.7</v>
      </c>
      <c r="I22" s="121">
        <f t="shared" ref="I22:J22" si="7">I23</f>
        <v>2603.4189999999999</v>
      </c>
      <c r="J22" s="121">
        <f t="shared" si="7"/>
        <v>5760.7</v>
      </c>
      <c r="K22" s="121">
        <f t="shared" si="3"/>
        <v>100</v>
      </c>
    </row>
    <row r="23" spans="1:11">
      <c r="A23" s="119" t="s">
        <v>85</v>
      </c>
      <c r="B23" s="120" t="s">
        <v>76</v>
      </c>
      <c r="C23" s="120" t="s">
        <v>483</v>
      </c>
      <c r="D23" s="120" t="s">
        <v>230</v>
      </c>
      <c r="E23" s="120" t="s">
        <v>86</v>
      </c>
      <c r="F23" s="121">
        <f>800+200+390+25+1950+1640</f>
        <v>5005</v>
      </c>
      <c r="G23" s="154">
        <f t="shared" si="2"/>
        <v>755.69999999999982</v>
      </c>
      <c r="H23" s="121">
        <f>800+200+390+25+1950+1640+515.7+240</f>
        <v>5760.7</v>
      </c>
      <c r="I23" s="121">
        <v>2603.4189999999999</v>
      </c>
      <c r="J23" s="121">
        <f>800+200+390+25+1950+1640+515.7+240</f>
        <v>5760.7</v>
      </c>
      <c r="K23" s="121">
        <f t="shared" si="3"/>
        <v>100</v>
      </c>
    </row>
    <row r="24" spans="1:11">
      <c r="A24" s="119" t="s">
        <v>87</v>
      </c>
      <c r="B24" s="120" t="s">
        <v>76</v>
      </c>
      <c r="C24" s="120" t="s">
        <v>483</v>
      </c>
      <c r="D24" s="120" t="s">
        <v>230</v>
      </c>
      <c r="E24" s="120" t="s">
        <v>88</v>
      </c>
      <c r="F24" s="121">
        <f>F25</f>
        <v>25</v>
      </c>
      <c r="G24" s="154">
        <f t="shared" si="2"/>
        <v>0</v>
      </c>
      <c r="H24" s="121">
        <f>H25</f>
        <v>25</v>
      </c>
      <c r="I24" s="121">
        <f t="shared" ref="I24:J24" si="8">I25</f>
        <v>10.11</v>
      </c>
      <c r="J24" s="121">
        <f t="shared" si="8"/>
        <v>25</v>
      </c>
      <c r="K24" s="121">
        <f t="shared" si="3"/>
        <v>100</v>
      </c>
    </row>
    <row r="25" spans="1:11">
      <c r="A25" s="119" t="s">
        <v>514</v>
      </c>
      <c r="B25" s="120" t="s">
        <v>76</v>
      </c>
      <c r="C25" s="120" t="s">
        <v>483</v>
      </c>
      <c r="D25" s="120" t="s">
        <v>230</v>
      </c>
      <c r="E25" s="120" t="s">
        <v>89</v>
      </c>
      <c r="F25" s="121">
        <v>25</v>
      </c>
      <c r="G25" s="154">
        <f t="shared" si="2"/>
        <v>0</v>
      </c>
      <c r="H25" s="121">
        <v>25</v>
      </c>
      <c r="I25" s="121">
        <v>10.11</v>
      </c>
      <c r="J25" s="121">
        <v>25</v>
      </c>
      <c r="K25" s="121">
        <f t="shared" si="3"/>
        <v>100</v>
      </c>
    </row>
    <row r="26" spans="1:11" ht="24">
      <c r="A26" s="165" t="s">
        <v>312</v>
      </c>
      <c r="B26" s="111" t="s">
        <v>76</v>
      </c>
      <c r="C26" s="111" t="s">
        <v>78</v>
      </c>
      <c r="D26" s="111"/>
      <c r="E26" s="111"/>
      <c r="F26" s="154">
        <f>F27+F33</f>
        <v>135286</v>
      </c>
      <c r="G26" s="154">
        <f t="shared" si="2"/>
        <v>1024.2631600000022</v>
      </c>
      <c r="H26" s="154">
        <f>H27+H33</f>
        <v>136310.26316</v>
      </c>
      <c r="I26" s="154">
        <f t="shared" ref="I26:J26" si="9">I27+I33</f>
        <v>99851.226999999984</v>
      </c>
      <c r="J26" s="154">
        <f t="shared" si="9"/>
        <v>134310.26316</v>
      </c>
      <c r="K26" s="112">
        <f t="shared" si="3"/>
        <v>98.532759050099983</v>
      </c>
    </row>
    <row r="27" spans="1:11">
      <c r="A27" s="145" t="s">
        <v>74</v>
      </c>
      <c r="B27" s="125" t="s">
        <v>76</v>
      </c>
      <c r="C27" s="125" t="s">
        <v>78</v>
      </c>
      <c r="D27" s="125" t="s">
        <v>211</v>
      </c>
      <c r="E27" s="125"/>
      <c r="F27" s="126">
        <f>F28</f>
        <v>1870</v>
      </c>
      <c r="G27" s="154">
        <f t="shared" si="2"/>
        <v>0</v>
      </c>
      <c r="H27" s="126">
        <f>H28</f>
        <v>1870</v>
      </c>
      <c r="I27" s="126">
        <f t="shared" ref="I27:J31" si="10">I28</f>
        <v>1359.011</v>
      </c>
      <c r="J27" s="126">
        <f t="shared" si="10"/>
        <v>1870</v>
      </c>
      <c r="K27" s="126">
        <f t="shared" si="3"/>
        <v>100</v>
      </c>
    </row>
    <row r="28" spans="1:11">
      <c r="A28" s="127" t="s">
        <v>304</v>
      </c>
      <c r="B28" s="111" t="s">
        <v>76</v>
      </c>
      <c r="C28" s="111" t="s">
        <v>78</v>
      </c>
      <c r="D28" s="111" t="s">
        <v>212</v>
      </c>
      <c r="E28" s="111"/>
      <c r="F28" s="112">
        <f>F29</f>
        <v>1870</v>
      </c>
      <c r="G28" s="154">
        <f t="shared" si="2"/>
        <v>0</v>
      </c>
      <c r="H28" s="112">
        <f>H29</f>
        <v>1870</v>
      </c>
      <c r="I28" s="112">
        <f t="shared" si="10"/>
        <v>1359.011</v>
      </c>
      <c r="J28" s="112">
        <f t="shared" si="10"/>
        <v>1870</v>
      </c>
      <c r="K28" s="112">
        <f t="shared" si="3"/>
        <v>100</v>
      </c>
    </row>
    <row r="29" spans="1:11" ht="24">
      <c r="A29" s="124" t="s">
        <v>313</v>
      </c>
      <c r="B29" s="125" t="s">
        <v>76</v>
      </c>
      <c r="C29" s="125" t="s">
        <v>78</v>
      </c>
      <c r="D29" s="125" t="s">
        <v>212</v>
      </c>
      <c r="E29" s="139"/>
      <c r="F29" s="126">
        <f>F30</f>
        <v>1870</v>
      </c>
      <c r="G29" s="154">
        <f t="shared" si="2"/>
        <v>0</v>
      </c>
      <c r="H29" s="126">
        <f>H30</f>
        <v>1870</v>
      </c>
      <c r="I29" s="126">
        <f t="shared" si="10"/>
        <v>1359.011</v>
      </c>
      <c r="J29" s="126">
        <f t="shared" si="10"/>
        <v>1870</v>
      </c>
      <c r="K29" s="126">
        <f t="shared" si="3"/>
        <v>100</v>
      </c>
    </row>
    <row r="30" spans="1:11">
      <c r="A30" s="127" t="s">
        <v>303</v>
      </c>
      <c r="B30" s="111" t="s">
        <v>76</v>
      </c>
      <c r="C30" s="111" t="s">
        <v>78</v>
      </c>
      <c r="D30" s="111" t="s">
        <v>213</v>
      </c>
      <c r="E30" s="111"/>
      <c r="F30" s="112">
        <f>F31</f>
        <v>1870</v>
      </c>
      <c r="G30" s="154">
        <f t="shared" si="2"/>
        <v>0</v>
      </c>
      <c r="H30" s="112">
        <f>H31</f>
        <v>1870</v>
      </c>
      <c r="I30" s="112">
        <f t="shared" si="10"/>
        <v>1359.011</v>
      </c>
      <c r="J30" s="112">
        <f t="shared" si="10"/>
        <v>1870</v>
      </c>
      <c r="K30" s="112">
        <f t="shared" si="3"/>
        <v>100</v>
      </c>
    </row>
    <row r="31" spans="1:11" ht="36">
      <c r="A31" s="119" t="s">
        <v>79</v>
      </c>
      <c r="B31" s="120" t="s">
        <v>76</v>
      </c>
      <c r="C31" s="120" t="s">
        <v>78</v>
      </c>
      <c r="D31" s="120" t="s">
        <v>213</v>
      </c>
      <c r="E31" s="120" t="s">
        <v>80</v>
      </c>
      <c r="F31" s="121">
        <f>F32</f>
        <v>1870</v>
      </c>
      <c r="G31" s="154">
        <f t="shared" si="2"/>
        <v>0</v>
      </c>
      <c r="H31" s="121">
        <f>H32</f>
        <v>1870</v>
      </c>
      <c r="I31" s="121">
        <f t="shared" si="10"/>
        <v>1359.011</v>
      </c>
      <c r="J31" s="121">
        <f t="shared" si="10"/>
        <v>1870</v>
      </c>
      <c r="K31" s="121">
        <f t="shared" si="3"/>
        <v>100</v>
      </c>
    </row>
    <row r="32" spans="1:11">
      <c r="A32" s="119" t="s">
        <v>81</v>
      </c>
      <c r="B32" s="120" t="s">
        <v>76</v>
      </c>
      <c r="C32" s="120" t="s">
        <v>78</v>
      </c>
      <c r="D32" s="120" t="s">
        <v>213</v>
      </c>
      <c r="E32" s="120" t="s">
        <v>82</v>
      </c>
      <c r="F32" s="121">
        <v>1870</v>
      </c>
      <c r="G32" s="154">
        <f t="shared" si="2"/>
        <v>0</v>
      </c>
      <c r="H32" s="121">
        <v>1870</v>
      </c>
      <c r="I32" s="121">
        <v>1359.011</v>
      </c>
      <c r="J32" s="121">
        <v>1870</v>
      </c>
      <c r="K32" s="121">
        <f t="shared" si="3"/>
        <v>100</v>
      </c>
    </row>
    <row r="33" spans="1:11">
      <c r="A33" s="145" t="s">
        <v>74</v>
      </c>
      <c r="B33" s="125" t="s">
        <v>76</v>
      </c>
      <c r="C33" s="125" t="s">
        <v>78</v>
      </c>
      <c r="D33" s="125" t="s">
        <v>214</v>
      </c>
      <c r="E33" s="125"/>
      <c r="F33" s="126">
        <f>F34</f>
        <v>133416</v>
      </c>
      <c r="G33" s="154">
        <f t="shared" si="2"/>
        <v>1024.2631600000022</v>
      </c>
      <c r="H33" s="126">
        <f>H34</f>
        <v>134440.26316</v>
      </c>
      <c r="I33" s="126">
        <f t="shared" ref="I33:J33" si="11">I34</f>
        <v>98492.215999999986</v>
      </c>
      <c r="J33" s="126">
        <f t="shared" si="11"/>
        <v>132440.26316</v>
      </c>
      <c r="K33" s="126">
        <f t="shared" si="3"/>
        <v>98.512350427624668</v>
      </c>
    </row>
    <row r="34" spans="1:11">
      <c r="A34" s="127" t="s">
        <v>304</v>
      </c>
      <c r="B34" s="111" t="s">
        <v>76</v>
      </c>
      <c r="C34" s="111" t="s">
        <v>78</v>
      </c>
      <c r="D34" s="111" t="s">
        <v>215</v>
      </c>
      <c r="E34" s="125"/>
      <c r="F34" s="112">
        <f>F35+F38</f>
        <v>133416</v>
      </c>
      <c r="G34" s="154">
        <f t="shared" si="2"/>
        <v>1024.2631600000022</v>
      </c>
      <c r="H34" s="112">
        <f>H35+H38</f>
        <v>134440.26316</v>
      </c>
      <c r="I34" s="112">
        <f t="shared" ref="I34:J34" si="12">I35+I38</f>
        <v>98492.215999999986</v>
      </c>
      <c r="J34" s="112">
        <f t="shared" si="12"/>
        <v>132440.26316</v>
      </c>
      <c r="K34" s="112">
        <f t="shared" si="3"/>
        <v>98.512350427624668</v>
      </c>
    </row>
    <row r="35" spans="1:11">
      <c r="A35" s="127" t="s">
        <v>26</v>
      </c>
      <c r="B35" s="111" t="s">
        <v>76</v>
      </c>
      <c r="C35" s="111" t="s">
        <v>78</v>
      </c>
      <c r="D35" s="111" t="s">
        <v>216</v>
      </c>
      <c r="E35" s="111"/>
      <c r="F35" s="112">
        <f>F36</f>
        <v>109840</v>
      </c>
      <c r="G35" s="154">
        <f t="shared" si="2"/>
        <v>192.5861600000062</v>
      </c>
      <c r="H35" s="112">
        <f>H36</f>
        <v>110032.58616000001</v>
      </c>
      <c r="I35" s="112">
        <f t="shared" ref="I35:J36" si="13">I36</f>
        <v>86330.732999999993</v>
      </c>
      <c r="J35" s="112">
        <f t="shared" si="13"/>
        <v>108032.58616000001</v>
      </c>
      <c r="K35" s="112">
        <f t="shared" si="3"/>
        <v>98.182356636522414</v>
      </c>
    </row>
    <row r="36" spans="1:11" ht="36">
      <c r="A36" s="119" t="s">
        <v>79</v>
      </c>
      <c r="B36" s="120" t="s">
        <v>76</v>
      </c>
      <c r="C36" s="120" t="s">
        <v>78</v>
      </c>
      <c r="D36" s="120" t="s">
        <v>216</v>
      </c>
      <c r="E36" s="120" t="s">
        <v>80</v>
      </c>
      <c r="F36" s="121">
        <f>F37</f>
        <v>109840</v>
      </c>
      <c r="G36" s="154">
        <f t="shared" si="2"/>
        <v>192.5861600000062</v>
      </c>
      <c r="H36" s="121">
        <f>H37</f>
        <v>110032.58616000001</v>
      </c>
      <c r="I36" s="121">
        <f t="shared" si="13"/>
        <v>86330.732999999993</v>
      </c>
      <c r="J36" s="121">
        <f t="shared" si="13"/>
        <v>108032.58616000001</v>
      </c>
      <c r="K36" s="121">
        <f t="shared" si="3"/>
        <v>98.182356636522414</v>
      </c>
    </row>
    <row r="37" spans="1:11">
      <c r="A37" s="119" t="s">
        <v>81</v>
      </c>
      <c r="B37" s="120" t="s">
        <v>76</v>
      </c>
      <c r="C37" s="120" t="s">
        <v>78</v>
      </c>
      <c r="D37" s="120" t="s">
        <v>216</v>
      </c>
      <c r="E37" s="120" t="s">
        <v>82</v>
      </c>
      <c r="F37" s="121">
        <v>109840</v>
      </c>
      <c r="G37" s="154">
        <f t="shared" si="2"/>
        <v>192.5861600000062</v>
      </c>
      <c r="H37" s="121">
        <f>109840+192.58616</f>
        <v>110032.58616000001</v>
      </c>
      <c r="I37" s="121">
        <v>86330.732999999993</v>
      </c>
      <c r="J37" s="121">
        <f>109840+192.58616-2000</f>
        <v>108032.58616000001</v>
      </c>
      <c r="K37" s="121">
        <f t="shared" si="3"/>
        <v>98.182356636522414</v>
      </c>
    </row>
    <row r="38" spans="1:11">
      <c r="A38" s="110" t="s">
        <v>83</v>
      </c>
      <c r="B38" s="111" t="s">
        <v>76</v>
      </c>
      <c r="C38" s="111" t="s">
        <v>78</v>
      </c>
      <c r="D38" s="111" t="s">
        <v>217</v>
      </c>
      <c r="E38" s="111"/>
      <c r="F38" s="112">
        <f>F39+F41</f>
        <v>23576</v>
      </c>
      <c r="G38" s="154">
        <f t="shared" si="2"/>
        <v>831.67699999999968</v>
      </c>
      <c r="H38" s="112">
        <f>H39+H41</f>
        <v>24407.677</v>
      </c>
      <c r="I38" s="112">
        <f t="shared" ref="I38:J38" si="14">I39+I41</f>
        <v>12161.483</v>
      </c>
      <c r="J38" s="112">
        <f t="shared" si="14"/>
        <v>24407.677</v>
      </c>
      <c r="K38" s="112">
        <f t="shared" si="3"/>
        <v>100</v>
      </c>
    </row>
    <row r="39" spans="1:11">
      <c r="A39" s="119" t="s">
        <v>301</v>
      </c>
      <c r="B39" s="120" t="s">
        <v>76</v>
      </c>
      <c r="C39" s="120" t="s">
        <v>78</v>
      </c>
      <c r="D39" s="120" t="s">
        <v>217</v>
      </c>
      <c r="E39" s="120" t="s">
        <v>84</v>
      </c>
      <c r="F39" s="121">
        <f>F40</f>
        <v>22745</v>
      </c>
      <c r="G39" s="154">
        <f t="shared" si="2"/>
        <v>300</v>
      </c>
      <c r="H39" s="121">
        <f>H40</f>
        <v>23045</v>
      </c>
      <c r="I39" s="121">
        <f t="shared" ref="I39:J39" si="15">I40</f>
        <v>11263.385</v>
      </c>
      <c r="J39" s="121">
        <f t="shared" si="15"/>
        <v>23045</v>
      </c>
      <c r="K39" s="121">
        <f t="shared" si="3"/>
        <v>100</v>
      </c>
    </row>
    <row r="40" spans="1:11">
      <c r="A40" s="119" t="s">
        <v>85</v>
      </c>
      <c r="B40" s="120" t="s">
        <v>76</v>
      </c>
      <c r="C40" s="120" t="s">
        <v>78</v>
      </c>
      <c r="D40" s="120" t="s">
        <v>217</v>
      </c>
      <c r="E40" s="120" t="s">
        <v>86</v>
      </c>
      <c r="F40" s="121">
        <v>22745</v>
      </c>
      <c r="G40" s="154">
        <f t="shared" si="2"/>
        <v>300</v>
      </c>
      <c r="H40" s="121">
        <f>22745+300</f>
        <v>23045</v>
      </c>
      <c r="I40" s="121">
        <v>11263.385</v>
      </c>
      <c r="J40" s="121">
        <f>22745+300</f>
        <v>23045</v>
      </c>
      <c r="K40" s="121">
        <f t="shared" si="3"/>
        <v>100</v>
      </c>
    </row>
    <row r="41" spans="1:11">
      <c r="A41" s="119" t="s">
        <v>87</v>
      </c>
      <c r="B41" s="120" t="s">
        <v>76</v>
      </c>
      <c r="C41" s="120" t="s">
        <v>78</v>
      </c>
      <c r="D41" s="120" t="s">
        <v>217</v>
      </c>
      <c r="E41" s="120" t="s">
        <v>88</v>
      </c>
      <c r="F41" s="121">
        <f>F42</f>
        <v>831</v>
      </c>
      <c r="G41" s="154">
        <f t="shared" si="2"/>
        <v>531.67699999999991</v>
      </c>
      <c r="H41" s="121">
        <f>H42</f>
        <v>1362.6769999999999</v>
      </c>
      <c r="I41" s="121">
        <f t="shared" ref="I41:J41" si="16">I42</f>
        <v>898.09799999999996</v>
      </c>
      <c r="J41" s="121">
        <f t="shared" si="16"/>
        <v>1362.6769999999999</v>
      </c>
      <c r="K41" s="121">
        <f t="shared" si="3"/>
        <v>100</v>
      </c>
    </row>
    <row r="42" spans="1:11">
      <c r="A42" s="119" t="s">
        <v>514</v>
      </c>
      <c r="B42" s="120" t="s">
        <v>76</v>
      </c>
      <c r="C42" s="120" t="s">
        <v>78</v>
      </c>
      <c r="D42" s="120" t="s">
        <v>217</v>
      </c>
      <c r="E42" s="120" t="s">
        <v>89</v>
      </c>
      <c r="F42" s="121">
        <v>831</v>
      </c>
      <c r="G42" s="154">
        <f t="shared" si="2"/>
        <v>531.67699999999991</v>
      </c>
      <c r="H42" s="121">
        <f>831+500-8.323+40</f>
        <v>1362.6769999999999</v>
      </c>
      <c r="I42" s="121">
        <v>898.09799999999996</v>
      </c>
      <c r="J42" s="121">
        <f>831+500-8.323+40</f>
        <v>1362.6769999999999</v>
      </c>
      <c r="K42" s="121">
        <f t="shared" si="3"/>
        <v>100</v>
      </c>
    </row>
    <row r="43" spans="1:11" s="30" customFormat="1">
      <c r="A43" s="110" t="s">
        <v>454</v>
      </c>
      <c r="B43" s="111" t="s">
        <v>76</v>
      </c>
      <c r="C43" s="111" t="s">
        <v>432</v>
      </c>
      <c r="D43" s="111"/>
      <c r="E43" s="111"/>
      <c r="F43" s="112">
        <f>F44</f>
        <v>189.5</v>
      </c>
      <c r="G43" s="154">
        <f t="shared" si="2"/>
        <v>0</v>
      </c>
      <c r="H43" s="112">
        <f>H44</f>
        <v>189.5</v>
      </c>
      <c r="I43" s="228">
        <f t="shared" ref="I43:J47" si="17">I44</f>
        <v>0</v>
      </c>
      <c r="J43" s="112">
        <f t="shared" si="17"/>
        <v>189.5</v>
      </c>
      <c r="K43" s="112">
        <f t="shared" si="3"/>
        <v>100</v>
      </c>
    </row>
    <row r="44" spans="1:11" s="30" customFormat="1">
      <c r="A44" s="145" t="s">
        <v>74</v>
      </c>
      <c r="B44" s="125" t="s">
        <v>76</v>
      </c>
      <c r="C44" s="125" t="s">
        <v>432</v>
      </c>
      <c r="D44" s="125" t="s">
        <v>214</v>
      </c>
      <c r="E44" s="120"/>
      <c r="F44" s="126">
        <f>F45</f>
        <v>189.5</v>
      </c>
      <c r="G44" s="154">
        <f t="shared" si="2"/>
        <v>0</v>
      </c>
      <c r="H44" s="126">
        <f>H45</f>
        <v>189.5</v>
      </c>
      <c r="I44" s="232">
        <f t="shared" si="17"/>
        <v>0</v>
      </c>
      <c r="J44" s="126">
        <f t="shared" si="17"/>
        <v>189.5</v>
      </c>
      <c r="K44" s="126">
        <f t="shared" si="3"/>
        <v>100</v>
      </c>
    </row>
    <row r="45" spans="1:11" s="30" customFormat="1">
      <c r="A45" s="127" t="s">
        <v>304</v>
      </c>
      <c r="B45" s="111" t="s">
        <v>76</v>
      </c>
      <c r="C45" s="111" t="s">
        <v>432</v>
      </c>
      <c r="D45" s="111" t="s">
        <v>215</v>
      </c>
      <c r="E45" s="120"/>
      <c r="F45" s="112">
        <f>F46</f>
        <v>189.5</v>
      </c>
      <c r="G45" s="154">
        <f t="shared" si="2"/>
        <v>0</v>
      </c>
      <c r="H45" s="112">
        <f>H46</f>
        <v>189.5</v>
      </c>
      <c r="I45" s="228">
        <f t="shared" si="17"/>
        <v>0</v>
      </c>
      <c r="J45" s="112">
        <f t="shared" si="17"/>
        <v>189.5</v>
      </c>
      <c r="K45" s="112">
        <f t="shared" si="3"/>
        <v>100</v>
      </c>
    </row>
    <row r="46" spans="1:11" s="30" customFormat="1" ht="24">
      <c r="A46" s="110" t="s">
        <v>457</v>
      </c>
      <c r="B46" s="111" t="s">
        <v>76</v>
      </c>
      <c r="C46" s="111" t="s">
        <v>432</v>
      </c>
      <c r="D46" s="111" t="s">
        <v>351</v>
      </c>
      <c r="E46" s="111"/>
      <c r="F46" s="112">
        <f>F47</f>
        <v>189.5</v>
      </c>
      <c r="G46" s="154">
        <f t="shared" si="2"/>
        <v>0</v>
      </c>
      <c r="H46" s="112">
        <f>H47</f>
        <v>189.5</v>
      </c>
      <c r="I46" s="228">
        <f t="shared" si="17"/>
        <v>0</v>
      </c>
      <c r="J46" s="112">
        <f t="shared" si="17"/>
        <v>189.5</v>
      </c>
      <c r="K46" s="112">
        <f t="shared" si="3"/>
        <v>100</v>
      </c>
    </row>
    <row r="47" spans="1:11" s="30" customFormat="1">
      <c r="A47" s="119" t="s">
        <v>301</v>
      </c>
      <c r="B47" s="120" t="s">
        <v>76</v>
      </c>
      <c r="C47" s="120" t="s">
        <v>432</v>
      </c>
      <c r="D47" s="120" t="s">
        <v>351</v>
      </c>
      <c r="E47" s="120" t="s">
        <v>84</v>
      </c>
      <c r="F47" s="121">
        <f>F48</f>
        <v>189.5</v>
      </c>
      <c r="G47" s="154">
        <f t="shared" si="2"/>
        <v>0</v>
      </c>
      <c r="H47" s="121">
        <f>H48</f>
        <v>189.5</v>
      </c>
      <c r="I47" s="229">
        <f t="shared" si="17"/>
        <v>0</v>
      </c>
      <c r="J47" s="121">
        <f t="shared" si="17"/>
        <v>189.5</v>
      </c>
      <c r="K47" s="121">
        <f t="shared" si="3"/>
        <v>100</v>
      </c>
    </row>
    <row r="48" spans="1:11" s="30" customFormat="1">
      <c r="A48" s="119" t="s">
        <v>85</v>
      </c>
      <c r="B48" s="120" t="s">
        <v>76</v>
      </c>
      <c r="C48" s="120" t="s">
        <v>432</v>
      </c>
      <c r="D48" s="120" t="s">
        <v>351</v>
      </c>
      <c r="E48" s="120" t="s">
        <v>86</v>
      </c>
      <c r="F48" s="121">
        <v>189.5</v>
      </c>
      <c r="G48" s="154">
        <f t="shared" si="2"/>
        <v>0</v>
      </c>
      <c r="H48" s="121">
        <v>189.5</v>
      </c>
      <c r="I48" s="229">
        <v>0</v>
      </c>
      <c r="J48" s="121">
        <v>189.5</v>
      </c>
      <c r="K48" s="121">
        <f t="shared" si="3"/>
        <v>100</v>
      </c>
    </row>
    <row r="49" spans="1:11" ht="24">
      <c r="A49" s="110" t="s">
        <v>315</v>
      </c>
      <c r="B49" s="111" t="s">
        <v>76</v>
      </c>
      <c r="C49" s="111" t="s">
        <v>302</v>
      </c>
      <c r="D49" s="111"/>
      <c r="E49" s="111"/>
      <c r="F49" s="112">
        <f>F50+F60</f>
        <v>31755.599999999999</v>
      </c>
      <c r="G49" s="154">
        <f t="shared" si="2"/>
        <v>-5</v>
      </c>
      <c r="H49" s="112">
        <f>H50+H60</f>
        <v>31750.6</v>
      </c>
      <c r="I49" s="112">
        <f t="shared" ref="I49:J49" si="18">I50+I60</f>
        <v>21734.056</v>
      </c>
      <c r="J49" s="112">
        <f t="shared" si="18"/>
        <v>31750.6</v>
      </c>
      <c r="K49" s="112">
        <f t="shared" si="3"/>
        <v>100</v>
      </c>
    </row>
    <row r="50" spans="1:11" ht="24">
      <c r="A50" s="145" t="s">
        <v>393</v>
      </c>
      <c r="B50" s="125" t="s">
        <v>76</v>
      </c>
      <c r="C50" s="125" t="s">
        <v>302</v>
      </c>
      <c r="D50" s="125" t="s">
        <v>232</v>
      </c>
      <c r="E50" s="139"/>
      <c r="F50" s="126">
        <f>F51</f>
        <v>15176</v>
      </c>
      <c r="G50" s="154">
        <f t="shared" si="2"/>
        <v>-5</v>
      </c>
      <c r="H50" s="126">
        <f>H51</f>
        <v>15171</v>
      </c>
      <c r="I50" s="126">
        <f t="shared" ref="I50:J50" si="19">I51</f>
        <v>9785.2240000000002</v>
      </c>
      <c r="J50" s="126">
        <f t="shared" si="19"/>
        <v>15171</v>
      </c>
      <c r="K50" s="112">
        <f t="shared" si="3"/>
        <v>100</v>
      </c>
    </row>
    <row r="51" spans="1:11">
      <c r="A51" s="127" t="s">
        <v>304</v>
      </c>
      <c r="B51" s="111" t="s">
        <v>76</v>
      </c>
      <c r="C51" s="111" t="s">
        <v>302</v>
      </c>
      <c r="D51" s="111" t="s">
        <v>233</v>
      </c>
      <c r="E51" s="111"/>
      <c r="F51" s="112">
        <f>F52+F55</f>
        <v>15176</v>
      </c>
      <c r="G51" s="154">
        <f t="shared" si="2"/>
        <v>-5</v>
      </c>
      <c r="H51" s="112">
        <f>H52+H55</f>
        <v>15171</v>
      </c>
      <c r="I51" s="112">
        <f t="shared" ref="I51:J51" si="20">I52+I55</f>
        <v>9785.2240000000002</v>
      </c>
      <c r="J51" s="112">
        <f t="shared" si="20"/>
        <v>15171</v>
      </c>
      <c r="K51" s="112">
        <f t="shared" si="3"/>
        <v>100</v>
      </c>
    </row>
    <row r="52" spans="1:11" ht="24">
      <c r="A52" s="127" t="s">
        <v>37</v>
      </c>
      <c r="B52" s="111" t="s">
        <v>76</v>
      </c>
      <c r="C52" s="111" t="s">
        <v>302</v>
      </c>
      <c r="D52" s="111" t="s">
        <v>234</v>
      </c>
      <c r="E52" s="111"/>
      <c r="F52" s="112">
        <f>F53</f>
        <v>13120</v>
      </c>
      <c r="G52" s="154">
        <f t="shared" si="2"/>
        <v>0</v>
      </c>
      <c r="H52" s="112">
        <f>H53</f>
        <v>13120</v>
      </c>
      <c r="I52" s="112">
        <f t="shared" ref="I52:J53" si="21">I53</f>
        <v>8631.625</v>
      </c>
      <c r="J52" s="112">
        <f t="shared" si="21"/>
        <v>13120</v>
      </c>
      <c r="K52" s="112">
        <f t="shared" si="3"/>
        <v>100</v>
      </c>
    </row>
    <row r="53" spans="1:11" ht="36">
      <c r="A53" s="119" t="s">
        <v>79</v>
      </c>
      <c r="B53" s="120" t="s">
        <v>76</v>
      </c>
      <c r="C53" s="120" t="s">
        <v>302</v>
      </c>
      <c r="D53" s="120" t="s">
        <v>234</v>
      </c>
      <c r="E53" s="120" t="s">
        <v>80</v>
      </c>
      <c r="F53" s="121">
        <f>F54</f>
        <v>13120</v>
      </c>
      <c r="G53" s="154">
        <f t="shared" si="2"/>
        <v>0</v>
      </c>
      <c r="H53" s="121">
        <f>H54</f>
        <v>13120</v>
      </c>
      <c r="I53" s="121">
        <f t="shared" si="21"/>
        <v>8631.625</v>
      </c>
      <c r="J53" s="121">
        <f t="shared" si="21"/>
        <v>13120</v>
      </c>
      <c r="K53" s="121">
        <f t="shared" si="3"/>
        <v>100</v>
      </c>
    </row>
    <row r="54" spans="1:11">
      <c r="A54" s="119" t="s">
        <v>81</v>
      </c>
      <c r="B54" s="120" t="s">
        <v>76</v>
      </c>
      <c r="C54" s="120" t="s">
        <v>302</v>
      </c>
      <c r="D54" s="120" t="s">
        <v>234</v>
      </c>
      <c r="E54" s="120" t="s">
        <v>82</v>
      </c>
      <c r="F54" s="121">
        <f>10060+40+3000+20</f>
        <v>13120</v>
      </c>
      <c r="G54" s="154">
        <f t="shared" si="2"/>
        <v>0</v>
      </c>
      <c r="H54" s="121">
        <f>10060+40+3000+20</f>
        <v>13120</v>
      </c>
      <c r="I54" s="121">
        <v>8631.625</v>
      </c>
      <c r="J54" s="121">
        <f>10060+40+3000+20</f>
        <v>13120</v>
      </c>
      <c r="K54" s="121">
        <f t="shared" si="3"/>
        <v>100</v>
      </c>
    </row>
    <row r="55" spans="1:11" ht="24">
      <c r="A55" s="110" t="s">
        <v>38</v>
      </c>
      <c r="B55" s="111" t="s">
        <v>76</v>
      </c>
      <c r="C55" s="111" t="s">
        <v>302</v>
      </c>
      <c r="D55" s="111" t="s">
        <v>235</v>
      </c>
      <c r="E55" s="111"/>
      <c r="F55" s="112">
        <f>F56+F58</f>
        <v>2056</v>
      </c>
      <c r="G55" s="154">
        <f t="shared" si="2"/>
        <v>-5</v>
      </c>
      <c r="H55" s="112">
        <f>H56+H58</f>
        <v>2051</v>
      </c>
      <c r="I55" s="112">
        <f t="shared" ref="I55:J55" si="22">I56+I58</f>
        <v>1153.5990000000002</v>
      </c>
      <c r="J55" s="112">
        <f t="shared" si="22"/>
        <v>2051</v>
      </c>
      <c r="K55" s="112">
        <f t="shared" si="3"/>
        <v>100</v>
      </c>
    </row>
    <row r="56" spans="1:11">
      <c r="A56" s="119" t="s">
        <v>301</v>
      </c>
      <c r="B56" s="120" t="s">
        <v>76</v>
      </c>
      <c r="C56" s="120" t="s">
        <v>302</v>
      </c>
      <c r="D56" s="120" t="s">
        <v>235</v>
      </c>
      <c r="E56" s="120" t="s">
        <v>84</v>
      </c>
      <c r="F56" s="121">
        <f>F57</f>
        <v>2018</v>
      </c>
      <c r="G56" s="154">
        <f t="shared" si="2"/>
        <v>-5</v>
      </c>
      <c r="H56" s="121">
        <f>H57</f>
        <v>2013</v>
      </c>
      <c r="I56" s="121">
        <f t="shared" ref="I56:J56" si="23">I57</f>
        <v>1127.1610000000001</v>
      </c>
      <c r="J56" s="121">
        <f t="shared" si="23"/>
        <v>2013</v>
      </c>
      <c r="K56" s="121">
        <f t="shared" si="3"/>
        <v>100</v>
      </c>
    </row>
    <row r="57" spans="1:11">
      <c r="A57" s="119" t="s">
        <v>85</v>
      </c>
      <c r="B57" s="120" t="s">
        <v>76</v>
      </c>
      <c r="C57" s="120" t="s">
        <v>302</v>
      </c>
      <c r="D57" s="120" t="s">
        <v>235</v>
      </c>
      <c r="E57" s="120" t="s">
        <v>86</v>
      </c>
      <c r="F57" s="121">
        <f>294+70+30+1008+70+50+496</f>
        <v>2018</v>
      </c>
      <c r="G57" s="154">
        <f t="shared" si="2"/>
        <v>-5</v>
      </c>
      <c r="H57" s="121">
        <f>294+70+30+1008+70+50+496-5</f>
        <v>2013</v>
      </c>
      <c r="I57" s="121">
        <v>1127.1610000000001</v>
      </c>
      <c r="J57" s="121">
        <f>294+70+30+1008+70+50+496-5</f>
        <v>2013</v>
      </c>
      <c r="K57" s="121">
        <f t="shared" si="3"/>
        <v>100</v>
      </c>
    </row>
    <row r="58" spans="1:11">
      <c r="A58" s="119" t="s">
        <v>87</v>
      </c>
      <c r="B58" s="120" t="s">
        <v>76</v>
      </c>
      <c r="C58" s="120" t="s">
        <v>302</v>
      </c>
      <c r="D58" s="120" t="s">
        <v>235</v>
      </c>
      <c r="E58" s="120" t="s">
        <v>88</v>
      </c>
      <c r="F58" s="121">
        <f>F59</f>
        <v>38</v>
      </c>
      <c r="G58" s="154">
        <f t="shared" si="2"/>
        <v>0</v>
      </c>
      <c r="H58" s="121">
        <f>H59</f>
        <v>38</v>
      </c>
      <c r="I58" s="121">
        <f t="shared" ref="I58:J58" si="24">I59</f>
        <v>26.437999999999999</v>
      </c>
      <c r="J58" s="121">
        <f t="shared" si="24"/>
        <v>38</v>
      </c>
      <c r="K58" s="121">
        <f t="shared" si="3"/>
        <v>100</v>
      </c>
    </row>
    <row r="59" spans="1:11">
      <c r="A59" s="119" t="s">
        <v>514</v>
      </c>
      <c r="B59" s="120" t="s">
        <v>76</v>
      </c>
      <c r="C59" s="120" t="s">
        <v>302</v>
      </c>
      <c r="D59" s="120" t="s">
        <v>235</v>
      </c>
      <c r="E59" s="120" t="s">
        <v>89</v>
      </c>
      <c r="F59" s="121">
        <v>38</v>
      </c>
      <c r="G59" s="154">
        <f t="shared" si="2"/>
        <v>0</v>
      </c>
      <c r="H59" s="121">
        <v>38</v>
      </c>
      <c r="I59" s="121">
        <v>26.437999999999999</v>
      </c>
      <c r="J59" s="121">
        <v>38</v>
      </c>
      <c r="K59" s="121">
        <f t="shared" si="3"/>
        <v>100</v>
      </c>
    </row>
    <row r="60" spans="1:11" ht="24">
      <c r="A60" s="145" t="s">
        <v>326</v>
      </c>
      <c r="B60" s="125" t="s">
        <v>76</v>
      </c>
      <c r="C60" s="125" t="s">
        <v>302</v>
      </c>
      <c r="D60" s="125" t="s">
        <v>214</v>
      </c>
      <c r="E60" s="125"/>
      <c r="F60" s="126">
        <f>F61</f>
        <v>16579.599999999999</v>
      </c>
      <c r="G60" s="154">
        <f t="shared" si="2"/>
        <v>0</v>
      </c>
      <c r="H60" s="126">
        <f>H61</f>
        <v>16579.599999999999</v>
      </c>
      <c r="I60" s="126">
        <f t="shared" ref="I60:J60" si="25">I61</f>
        <v>11948.832</v>
      </c>
      <c r="J60" s="126">
        <f t="shared" si="25"/>
        <v>16579.599999999999</v>
      </c>
      <c r="K60" s="126">
        <f t="shared" si="3"/>
        <v>100</v>
      </c>
    </row>
    <row r="61" spans="1:11">
      <c r="A61" s="127" t="s">
        <v>304</v>
      </c>
      <c r="B61" s="111" t="s">
        <v>76</v>
      </c>
      <c r="C61" s="111" t="s">
        <v>302</v>
      </c>
      <c r="D61" s="111" t="s">
        <v>215</v>
      </c>
      <c r="E61" s="111"/>
      <c r="F61" s="112">
        <f>F62+F67</f>
        <v>16579.599999999999</v>
      </c>
      <c r="G61" s="154">
        <f t="shared" si="2"/>
        <v>0</v>
      </c>
      <c r="H61" s="112">
        <f>H62+H67</f>
        <v>16579.599999999999</v>
      </c>
      <c r="I61" s="112">
        <f t="shared" ref="I61:J61" si="26">I62+I67</f>
        <v>11948.832</v>
      </c>
      <c r="J61" s="112">
        <f t="shared" si="26"/>
        <v>16579.599999999999</v>
      </c>
      <c r="K61" s="112">
        <f t="shared" si="3"/>
        <v>100</v>
      </c>
    </row>
    <row r="62" spans="1:11">
      <c r="A62" s="127" t="s">
        <v>324</v>
      </c>
      <c r="B62" s="111" t="s">
        <v>76</v>
      </c>
      <c r="C62" s="111" t="s">
        <v>302</v>
      </c>
      <c r="D62" s="111" t="s">
        <v>216</v>
      </c>
      <c r="E62" s="111"/>
      <c r="F62" s="167">
        <f>F63+F65</f>
        <v>13720</v>
      </c>
      <c r="G62" s="154">
        <f t="shared" si="2"/>
        <v>0</v>
      </c>
      <c r="H62" s="167">
        <f>H63+H65</f>
        <v>13720</v>
      </c>
      <c r="I62" s="167">
        <f t="shared" ref="I62:J62" si="27">I63+I65</f>
        <v>9976.5450000000001</v>
      </c>
      <c r="J62" s="167">
        <f t="shared" si="27"/>
        <v>13720</v>
      </c>
      <c r="K62" s="112">
        <f t="shared" si="3"/>
        <v>100</v>
      </c>
    </row>
    <row r="63" spans="1:11" ht="36">
      <c r="A63" s="119" t="s">
        <v>79</v>
      </c>
      <c r="B63" s="120" t="s">
        <v>76</v>
      </c>
      <c r="C63" s="120" t="s">
        <v>302</v>
      </c>
      <c r="D63" s="120" t="s">
        <v>216</v>
      </c>
      <c r="E63" s="120" t="s">
        <v>80</v>
      </c>
      <c r="F63" s="121">
        <f>F64</f>
        <v>13670</v>
      </c>
      <c r="G63" s="154">
        <f t="shared" si="2"/>
        <v>-3.8144599999995989</v>
      </c>
      <c r="H63" s="121">
        <f>H64</f>
        <v>13666.18554</v>
      </c>
      <c r="I63" s="121">
        <f t="shared" ref="I63:J63" si="28">I64</f>
        <v>9922.7309999999998</v>
      </c>
      <c r="J63" s="121">
        <f t="shared" si="28"/>
        <v>13666.18554</v>
      </c>
      <c r="K63" s="121">
        <f t="shared" si="3"/>
        <v>100</v>
      </c>
    </row>
    <row r="64" spans="1:11">
      <c r="A64" s="119" t="s">
        <v>81</v>
      </c>
      <c r="B64" s="120" t="s">
        <v>76</v>
      </c>
      <c r="C64" s="120" t="s">
        <v>302</v>
      </c>
      <c r="D64" s="120" t="s">
        <v>216</v>
      </c>
      <c r="E64" s="120" t="s">
        <v>82</v>
      </c>
      <c r="F64" s="121">
        <f>13720-50</f>
        <v>13670</v>
      </c>
      <c r="G64" s="154">
        <f t="shared" si="2"/>
        <v>-3.8144599999995989</v>
      </c>
      <c r="H64" s="121">
        <f>13720-50-3.81446</f>
        <v>13666.18554</v>
      </c>
      <c r="I64" s="121">
        <v>9922.7309999999998</v>
      </c>
      <c r="J64" s="121">
        <f>13720-50-3.81446</f>
        <v>13666.18554</v>
      </c>
      <c r="K64" s="121">
        <f t="shared" si="3"/>
        <v>100</v>
      </c>
    </row>
    <row r="65" spans="1:11">
      <c r="A65" s="119" t="s">
        <v>95</v>
      </c>
      <c r="B65" s="120" t="s">
        <v>76</v>
      </c>
      <c r="C65" s="120" t="s">
        <v>302</v>
      </c>
      <c r="D65" s="120" t="s">
        <v>216</v>
      </c>
      <c r="E65" s="120" t="s">
        <v>94</v>
      </c>
      <c r="F65" s="121">
        <f>F66</f>
        <v>50</v>
      </c>
      <c r="G65" s="154">
        <f t="shared" si="2"/>
        <v>3.8144599999999969</v>
      </c>
      <c r="H65" s="121">
        <f>H66</f>
        <v>53.814459999999997</v>
      </c>
      <c r="I65" s="121">
        <f t="shared" ref="I65:J65" si="29">I66</f>
        <v>53.814</v>
      </c>
      <c r="J65" s="121">
        <f t="shared" si="29"/>
        <v>53.814459999999997</v>
      </c>
      <c r="K65" s="121">
        <f t="shared" si="3"/>
        <v>100</v>
      </c>
    </row>
    <row r="66" spans="1:11">
      <c r="A66" s="119" t="s">
        <v>96</v>
      </c>
      <c r="B66" s="120" t="s">
        <v>76</v>
      </c>
      <c r="C66" s="120" t="s">
        <v>302</v>
      </c>
      <c r="D66" s="120" t="s">
        <v>216</v>
      </c>
      <c r="E66" s="120" t="s">
        <v>97</v>
      </c>
      <c r="F66" s="121">
        <v>50</v>
      </c>
      <c r="G66" s="154">
        <f t="shared" si="2"/>
        <v>3.8144599999999969</v>
      </c>
      <c r="H66" s="121">
        <f>50+3.81446</f>
        <v>53.814459999999997</v>
      </c>
      <c r="I66" s="121">
        <v>53.814</v>
      </c>
      <c r="J66" s="121">
        <f>50+3.81446</f>
        <v>53.814459999999997</v>
      </c>
      <c r="K66" s="121">
        <f t="shared" si="3"/>
        <v>100</v>
      </c>
    </row>
    <row r="67" spans="1:11">
      <c r="A67" s="110" t="s">
        <v>325</v>
      </c>
      <c r="B67" s="111" t="s">
        <v>76</v>
      </c>
      <c r="C67" s="111" t="s">
        <v>302</v>
      </c>
      <c r="D67" s="111" t="s">
        <v>217</v>
      </c>
      <c r="E67" s="111"/>
      <c r="F67" s="112">
        <f>F68+F70</f>
        <v>2859.6</v>
      </c>
      <c r="G67" s="154">
        <f t="shared" si="2"/>
        <v>0</v>
      </c>
      <c r="H67" s="112">
        <f>H68+H70</f>
        <v>2859.6</v>
      </c>
      <c r="I67" s="112">
        <f t="shared" ref="I67:J67" si="30">I68+I70</f>
        <v>1972.287</v>
      </c>
      <c r="J67" s="112">
        <f t="shared" si="30"/>
        <v>2859.6</v>
      </c>
      <c r="K67" s="112">
        <f t="shared" si="3"/>
        <v>100</v>
      </c>
    </row>
    <row r="68" spans="1:11">
      <c r="A68" s="119" t="s">
        <v>301</v>
      </c>
      <c r="B68" s="120" t="s">
        <v>76</v>
      </c>
      <c r="C68" s="120" t="s">
        <v>302</v>
      </c>
      <c r="D68" s="120" t="s">
        <v>217</v>
      </c>
      <c r="E68" s="120" t="s">
        <v>84</v>
      </c>
      <c r="F68" s="121">
        <f>F69</f>
        <v>2854.6</v>
      </c>
      <c r="G68" s="154">
        <f t="shared" si="2"/>
        <v>0</v>
      </c>
      <c r="H68" s="121">
        <f>H69</f>
        <v>2854.6</v>
      </c>
      <c r="I68" s="121">
        <f t="shared" ref="I68:J68" si="31">I69</f>
        <v>1972.287</v>
      </c>
      <c r="J68" s="121">
        <f t="shared" si="31"/>
        <v>2854.6</v>
      </c>
      <c r="K68" s="121">
        <f t="shared" si="3"/>
        <v>100</v>
      </c>
    </row>
    <row r="69" spans="1:11">
      <c r="A69" s="119" t="s">
        <v>85</v>
      </c>
      <c r="B69" s="120" t="s">
        <v>76</v>
      </c>
      <c r="C69" s="120" t="s">
        <v>302</v>
      </c>
      <c r="D69" s="120" t="s">
        <v>217</v>
      </c>
      <c r="E69" s="120" t="s">
        <v>86</v>
      </c>
      <c r="F69" s="121">
        <v>2854.6</v>
      </c>
      <c r="G69" s="154">
        <f t="shared" si="2"/>
        <v>0</v>
      </c>
      <c r="H69" s="121">
        <v>2854.6</v>
      </c>
      <c r="I69" s="121">
        <v>1972.287</v>
      </c>
      <c r="J69" s="121">
        <v>2854.6</v>
      </c>
      <c r="K69" s="121">
        <f t="shared" si="3"/>
        <v>100</v>
      </c>
    </row>
    <row r="70" spans="1:11">
      <c r="A70" s="119" t="s">
        <v>87</v>
      </c>
      <c r="B70" s="120" t="s">
        <v>76</v>
      </c>
      <c r="C70" s="120" t="s">
        <v>302</v>
      </c>
      <c r="D70" s="120" t="s">
        <v>217</v>
      </c>
      <c r="E70" s="120" t="s">
        <v>88</v>
      </c>
      <c r="F70" s="121">
        <f>F71</f>
        <v>5</v>
      </c>
      <c r="G70" s="154">
        <f t="shared" si="2"/>
        <v>0</v>
      </c>
      <c r="H70" s="121">
        <f>H71</f>
        <v>5</v>
      </c>
      <c r="I70" s="135">
        <f t="shared" ref="I70:J70" si="32">I71</f>
        <v>0</v>
      </c>
      <c r="J70" s="121">
        <f t="shared" si="32"/>
        <v>5</v>
      </c>
      <c r="K70" s="121">
        <f t="shared" si="3"/>
        <v>100</v>
      </c>
    </row>
    <row r="71" spans="1:11">
      <c r="A71" s="119" t="s">
        <v>514</v>
      </c>
      <c r="B71" s="120" t="s">
        <v>76</v>
      </c>
      <c r="C71" s="120" t="s">
        <v>302</v>
      </c>
      <c r="D71" s="120" t="s">
        <v>217</v>
      </c>
      <c r="E71" s="120" t="s">
        <v>89</v>
      </c>
      <c r="F71" s="121">
        <v>5</v>
      </c>
      <c r="G71" s="154">
        <f t="shared" si="2"/>
        <v>0</v>
      </c>
      <c r="H71" s="121">
        <v>5</v>
      </c>
      <c r="I71" s="135">
        <v>0</v>
      </c>
      <c r="J71" s="121">
        <v>5</v>
      </c>
      <c r="K71" s="121">
        <f t="shared" si="3"/>
        <v>100</v>
      </c>
    </row>
    <row r="72" spans="1:11">
      <c r="A72" s="110" t="s">
        <v>317</v>
      </c>
      <c r="B72" s="111" t="s">
        <v>76</v>
      </c>
      <c r="C72" s="111" t="s">
        <v>90</v>
      </c>
      <c r="D72" s="111"/>
      <c r="E72" s="111"/>
      <c r="F72" s="112">
        <f>F73</f>
        <v>3000</v>
      </c>
      <c r="G72" s="154">
        <f t="shared" ref="G72:G135" si="33">H72-F72</f>
        <v>10000</v>
      </c>
      <c r="H72" s="112">
        <f>H73</f>
        <v>13000</v>
      </c>
      <c r="I72" s="134">
        <f t="shared" ref="I72:J76" si="34">I73</f>
        <v>0</v>
      </c>
      <c r="J72" s="112">
        <f t="shared" si="34"/>
        <v>3000</v>
      </c>
      <c r="K72" s="112">
        <f t="shared" si="3"/>
        <v>23.076923076923077</v>
      </c>
    </row>
    <row r="73" spans="1:11">
      <c r="A73" s="145" t="s">
        <v>74</v>
      </c>
      <c r="B73" s="125" t="s">
        <v>76</v>
      </c>
      <c r="C73" s="125" t="s">
        <v>90</v>
      </c>
      <c r="D73" s="125" t="s">
        <v>214</v>
      </c>
      <c r="E73" s="125"/>
      <c r="F73" s="126">
        <f>F74</f>
        <v>3000</v>
      </c>
      <c r="G73" s="154">
        <f t="shared" si="33"/>
        <v>10000</v>
      </c>
      <c r="H73" s="126">
        <f>H74</f>
        <v>13000</v>
      </c>
      <c r="I73" s="136">
        <f t="shared" si="34"/>
        <v>0</v>
      </c>
      <c r="J73" s="126">
        <f t="shared" si="34"/>
        <v>3000</v>
      </c>
      <c r="K73" s="126">
        <f t="shared" ref="K73:K136" si="35">J73/H73*100</f>
        <v>23.076923076923077</v>
      </c>
    </row>
    <row r="74" spans="1:11">
      <c r="A74" s="127" t="s">
        <v>304</v>
      </c>
      <c r="B74" s="111" t="s">
        <v>76</v>
      </c>
      <c r="C74" s="111" t="s">
        <v>90</v>
      </c>
      <c r="D74" s="111" t="s">
        <v>215</v>
      </c>
      <c r="E74" s="111"/>
      <c r="F74" s="112">
        <f>F75</f>
        <v>3000</v>
      </c>
      <c r="G74" s="154">
        <f t="shared" si="33"/>
        <v>10000</v>
      </c>
      <c r="H74" s="112">
        <f>H75</f>
        <v>13000</v>
      </c>
      <c r="I74" s="134">
        <f t="shared" si="34"/>
        <v>0</v>
      </c>
      <c r="J74" s="112">
        <f t="shared" si="34"/>
        <v>3000</v>
      </c>
      <c r="K74" s="112">
        <f t="shared" si="35"/>
        <v>23.076923076923077</v>
      </c>
    </row>
    <row r="75" spans="1:11">
      <c r="A75" s="119" t="s">
        <v>91</v>
      </c>
      <c r="B75" s="120" t="s">
        <v>76</v>
      </c>
      <c r="C75" s="120" t="s">
        <v>90</v>
      </c>
      <c r="D75" s="120" t="s">
        <v>321</v>
      </c>
      <c r="E75" s="120"/>
      <c r="F75" s="121">
        <f>F76</f>
        <v>3000</v>
      </c>
      <c r="G75" s="154">
        <f t="shared" si="33"/>
        <v>10000</v>
      </c>
      <c r="H75" s="121">
        <f>H76</f>
        <v>13000</v>
      </c>
      <c r="I75" s="135">
        <f t="shared" si="34"/>
        <v>0</v>
      </c>
      <c r="J75" s="121">
        <f t="shared" si="34"/>
        <v>3000</v>
      </c>
      <c r="K75" s="121">
        <f t="shared" si="35"/>
        <v>23.076923076923077</v>
      </c>
    </row>
    <row r="76" spans="1:11">
      <c r="A76" s="119" t="s">
        <v>87</v>
      </c>
      <c r="B76" s="120" t="s">
        <v>76</v>
      </c>
      <c r="C76" s="120" t="s">
        <v>90</v>
      </c>
      <c r="D76" s="120" t="s">
        <v>321</v>
      </c>
      <c r="E76" s="120" t="s">
        <v>88</v>
      </c>
      <c r="F76" s="121">
        <f>F77</f>
        <v>3000</v>
      </c>
      <c r="G76" s="154">
        <f t="shared" si="33"/>
        <v>10000</v>
      </c>
      <c r="H76" s="121">
        <f>H77</f>
        <v>13000</v>
      </c>
      <c r="I76" s="135">
        <f t="shared" si="34"/>
        <v>0</v>
      </c>
      <c r="J76" s="121">
        <f t="shared" si="34"/>
        <v>3000</v>
      </c>
      <c r="K76" s="121">
        <f t="shared" si="35"/>
        <v>23.076923076923077</v>
      </c>
    </row>
    <row r="77" spans="1:11">
      <c r="A77" s="119" t="s">
        <v>92</v>
      </c>
      <c r="B77" s="120" t="s">
        <v>76</v>
      </c>
      <c r="C77" s="120" t="s">
        <v>90</v>
      </c>
      <c r="D77" s="120" t="s">
        <v>321</v>
      </c>
      <c r="E77" s="120" t="s">
        <v>437</v>
      </c>
      <c r="F77" s="121">
        <v>3000</v>
      </c>
      <c r="G77" s="154">
        <f t="shared" si="33"/>
        <v>10000</v>
      </c>
      <c r="H77" s="121">
        <f>3000+10000</f>
        <v>13000</v>
      </c>
      <c r="I77" s="135">
        <v>0</v>
      </c>
      <c r="J77" s="121">
        <v>3000</v>
      </c>
      <c r="K77" s="121">
        <f t="shared" si="35"/>
        <v>23.076923076923077</v>
      </c>
    </row>
    <row r="78" spans="1:11">
      <c r="A78" s="110" t="s">
        <v>318</v>
      </c>
      <c r="B78" s="111" t="s">
        <v>76</v>
      </c>
      <c r="C78" s="111" t="s">
        <v>93</v>
      </c>
      <c r="D78" s="111"/>
      <c r="E78" s="111"/>
      <c r="F78" s="112" t="e">
        <f>F79+F113+F118+F123</f>
        <v>#REF!</v>
      </c>
      <c r="G78" s="154" t="e">
        <f t="shared" si="33"/>
        <v>#REF!</v>
      </c>
      <c r="H78" s="112">
        <f>H79+H113+H118+H123</f>
        <v>107467.223</v>
      </c>
      <c r="I78" s="112">
        <f t="shared" ref="I78:J78" si="36">I79+I113+I118+I123</f>
        <v>71171.135000000009</v>
      </c>
      <c r="J78" s="112">
        <f t="shared" si="36"/>
        <v>104981.12299999999</v>
      </c>
      <c r="K78" s="112">
        <f t="shared" si="35"/>
        <v>97.686643489429329</v>
      </c>
    </row>
    <row r="79" spans="1:11" ht="27">
      <c r="A79" s="123" t="s">
        <v>541</v>
      </c>
      <c r="B79" s="114" t="s">
        <v>76</v>
      </c>
      <c r="C79" s="114" t="s">
        <v>93</v>
      </c>
      <c r="D79" s="146" t="s">
        <v>218</v>
      </c>
      <c r="E79" s="147"/>
      <c r="F79" s="115">
        <f>F80+F87+F106</f>
        <v>38642.9</v>
      </c>
      <c r="G79" s="154">
        <f t="shared" si="33"/>
        <v>0</v>
      </c>
      <c r="H79" s="115">
        <f>H80+H87+H106</f>
        <v>38642.9</v>
      </c>
      <c r="I79" s="115">
        <f t="shared" ref="I79:J79" si="37">I80+I87+I106</f>
        <v>24400.501</v>
      </c>
      <c r="J79" s="115">
        <f t="shared" si="37"/>
        <v>38642.9</v>
      </c>
      <c r="K79" s="115">
        <f t="shared" si="35"/>
        <v>100</v>
      </c>
    </row>
    <row r="80" spans="1:11" ht="27">
      <c r="A80" s="148" t="s">
        <v>542</v>
      </c>
      <c r="B80" s="114" t="s">
        <v>76</v>
      </c>
      <c r="C80" s="114" t="s">
        <v>93</v>
      </c>
      <c r="D80" s="149" t="s">
        <v>176</v>
      </c>
      <c r="E80" s="147"/>
      <c r="F80" s="115">
        <f>F81+F84</f>
        <v>25382</v>
      </c>
      <c r="G80" s="154">
        <f t="shared" si="33"/>
        <v>0</v>
      </c>
      <c r="H80" s="115">
        <f>H81+H84</f>
        <v>25382</v>
      </c>
      <c r="I80" s="115">
        <f t="shared" ref="I80:J80" si="38">I81+I84</f>
        <v>19418.228999999999</v>
      </c>
      <c r="J80" s="115">
        <f t="shared" si="38"/>
        <v>25382</v>
      </c>
      <c r="K80" s="115">
        <f t="shared" si="35"/>
        <v>100</v>
      </c>
    </row>
    <row r="81" spans="1:11" ht="24">
      <c r="A81" s="110" t="s">
        <v>543</v>
      </c>
      <c r="B81" s="111" t="s">
        <v>76</v>
      </c>
      <c r="C81" s="111" t="s">
        <v>93</v>
      </c>
      <c r="D81" s="142" t="s">
        <v>129</v>
      </c>
      <c r="E81" s="150"/>
      <c r="F81" s="134">
        <f>F82</f>
        <v>7140</v>
      </c>
      <c r="G81" s="154">
        <f t="shared" si="33"/>
        <v>0</v>
      </c>
      <c r="H81" s="134">
        <f>H82</f>
        <v>7140</v>
      </c>
      <c r="I81" s="134">
        <f t="shared" ref="I81:J82" si="39">I82</f>
        <v>5950</v>
      </c>
      <c r="J81" s="134">
        <f t="shared" si="39"/>
        <v>7140</v>
      </c>
      <c r="K81" s="112">
        <f t="shared" si="35"/>
        <v>100</v>
      </c>
    </row>
    <row r="82" spans="1:11">
      <c r="A82" s="119" t="s">
        <v>301</v>
      </c>
      <c r="B82" s="120" t="s">
        <v>76</v>
      </c>
      <c r="C82" s="120" t="s">
        <v>93</v>
      </c>
      <c r="D82" s="130" t="s">
        <v>129</v>
      </c>
      <c r="E82" s="137">
        <v>200</v>
      </c>
      <c r="F82" s="135">
        <f>F83</f>
        <v>7140</v>
      </c>
      <c r="G82" s="154">
        <f t="shared" si="33"/>
        <v>0</v>
      </c>
      <c r="H82" s="135">
        <f>H83</f>
        <v>7140</v>
      </c>
      <c r="I82" s="135">
        <f t="shared" si="39"/>
        <v>5950</v>
      </c>
      <c r="J82" s="135">
        <f t="shared" si="39"/>
        <v>7140</v>
      </c>
      <c r="K82" s="121">
        <f t="shared" si="35"/>
        <v>100</v>
      </c>
    </row>
    <row r="83" spans="1:11">
      <c r="A83" s="119" t="s">
        <v>85</v>
      </c>
      <c r="B83" s="120" t="s">
        <v>76</v>
      </c>
      <c r="C83" s="120" t="s">
        <v>93</v>
      </c>
      <c r="D83" s="130" t="s">
        <v>129</v>
      </c>
      <c r="E83" s="137">
        <v>240</v>
      </c>
      <c r="F83" s="135">
        <v>7140</v>
      </c>
      <c r="G83" s="154">
        <f t="shared" si="33"/>
        <v>0</v>
      </c>
      <c r="H83" s="135">
        <v>7140</v>
      </c>
      <c r="I83" s="135">
        <v>5950</v>
      </c>
      <c r="J83" s="135">
        <v>7140</v>
      </c>
      <c r="K83" s="121">
        <f t="shared" si="35"/>
        <v>100</v>
      </c>
    </row>
    <row r="84" spans="1:11" ht="24">
      <c r="A84" s="110" t="s">
        <v>544</v>
      </c>
      <c r="B84" s="111" t="s">
        <v>76</v>
      </c>
      <c r="C84" s="111" t="s">
        <v>93</v>
      </c>
      <c r="D84" s="142" t="s">
        <v>545</v>
      </c>
      <c r="E84" s="150"/>
      <c r="F84" s="134">
        <f>F85</f>
        <v>18242</v>
      </c>
      <c r="G84" s="154">
        <f t="shared" si="33"/>
        <v>0</v>
      </c>
      <c r="H84" s="134">
        <f>H85</f>
        <v>18242</v>
      </c>
      <c r="I84" s="134">
        <f t="shared" ref="I84:J85" si="40">I85</f>
        <v>13468.228999999999</v>
      </c>
      <c r="J84" s="134">
        <f t="shared" si="40"/>
        <v>18242</v>
      </c>
      <c r="K84" s="112">
        <f t="shared" si="35"/>
        <v>100</v>
      </c>
    </row>
    <row r="85" spans="1:11">
      <c r="A85" s="119" t="s">
        <v>301</v>
      </c>
      <c r="B85" s="120" t="s">
        <v>76</v>
      </c>
      <c r="C85" s="120" t="s">
        <v>93</v>
      </c>
      <c r="D85" s="130" t="s">
        <v>545</v>
      </c>
      <c r="E85" s="137">
        <v>200</v>
      </c>
      <c r="F85" s="135">
        <f>F86</f>
        <v>18242</v>
      </c>
      <c r="G85" s="154">
        <f t="shared" si="33"/>
        <v>0</v>
      </c>
      <c r="H85" s="135">
        <f>H86</f>
        <v>18242</v>
      </c>
      <c r="I85" s="135">
        <f t="shared" si="40"/>
        <v>13468.228999999999</v>
      </c>
      <c r="J85" s="135">
        <f t="shared" si="40"/>
        <v>18242</v>
      </c>
      <c r="K85" s="121">
        <f t="shared" si="35"/>
        <v>100</v>
      </c>
    </row>
    <row r="86" spans="1:11">
      <c r="A86" s="119" t="s">
        <v>85</v>
      </c>
      <c r="B86" s="120" t="s">
        <v>76</v>
      </c>
      <c r="C86" s="120" t="s">
        <v>93</v>
      </c>
      <c r="D86" s="130" t="s">
        <v>545</v>
      </c>
      <c r="E86" s="137">
        <v>240</v>
      </c>
      <c r="F86" s="135">
        <v>18242</v>
      </c>
      <c r="G86" s="154">
        <f t="shared" si="33"/>
        <v>0</v>
      </c>
      <c r="H86" s="135">
        <v>18242</v>
      </c>
      <c r="I86" s="135">
        <v>13468.228999999999</v>
      </c>
      <c r="J86" s="135">
        <v>18242</v>
      </c>
      <c r="K86" s="121">
        <f t="shared" si="35"/>
        <v>100</v>
      </c>
    </row>
    <row r="87" spans="1:11" ht="27">
      <c r="A87" s="148" t="s">
        <v>58</v>
      </c>
      <c r="B87" s="114" t="s">
        <v>76</v>
      </c>
      <c r="C87" s="114" t="s">
        <v>93</v>
      </c>
      <c r="D87" s="149" t="s">
        <v>251</v>
      </c>
      <c r="E87" s="147"/>
      <c r="F87" s="115">
        <f>F88+F91+F94+F97+F100+F103</f>
        <v>10560.9</v>
      </c>
      <c r="G87" s="154">
        <f t="shared" si="33"/>
        <v>0</v>
      </c>
      <c r="H87" s="115">
        <f>H88+H91+H94+H97+H100+H103</f>
        <v>10560.9</v>
      </c>
      <c r="I87" s="115">
        <f t="shared" ref="I87:J87" si="41">I88+I91+I94+I97+I100+I103</f>
        <v>4982.2719999999999</v>
      </c>
      <c r="J87" s="115">
        <f t="shared" si="41"/>
        <v>10560.9</v>
      </c>
      <c r="K87" s="115">
        <f t="shared" si="35"/>
        <v>100</v>
      </c>
    </row>
    <row r="88" spans="1:11">
      <c r="A88" s="141" t="s">
        <v>546</v>
      </c>
      <c r="B88" s="111" t="s">
        <v>76</v>
      </c>
      <c r="C88" s="111" t="s">
        <v>93</v>
      </c>
      <c r="D88" s="142" t="s">
        <v>547</v>
      </c>
      <c r="E88" s="150"/>
      <c r="F88" s="112">
        <f>F89</f>
        <v>906.9</v>
      </c>
      <c r="G88" s="154">
        <f t="shared" si="33"/>
        <v>300.00000000000011</v>
      </c>
      <c r="H88" s="112">
        <f>H89</f>
        <v>1206.9000000000001</v>
      </c>
      <c r="I88" s="112">
        <f t="shared" ref="I88:J89" si="42">I89</f>
        <v>943.678</v>
      </c>
      <c r="J88" s="112">
        <f t="shared" si="42"/>
        <v>1206.9000000000001</v>
      </c>
      <c r="K88" s="112">
        <f t="shared" si="35"/>
        <v>100</v>
      </c>
    </row>
    <row r="89" spans="1:11">
      <c r="A89" s="119" t="s">
        <v>301</v>
      </c>
      <c r="B89" s="120" t="s">
        <v>76</v>
      </c>
      <c r="C89" s="120" t="s">
        <v>93</v>
      </c>
      <c r="D89" s="130" t="s">
        <v>547</v>
      </c>
      <c r="E89" s="137">
        <v>200</v>
      </c>
      <c r="F89" s="121">
        <f>F90</f>
        <v>906.9</v>
      </c>
      <c r="G89" s="154">
        <f t="shared" si="33"/>
        <v>300.00000000000011</v>
      </c>
      <c r="H89" s="121">
        <f>H90</f>
        <v>1206.9000000000001</v>
      </c>
      <c r="I89" s="121">
        <f t="shared" si="42"/>
        <v>943.678</v>
      </c>
      <c r="J89" s="121">
        <f t="shared" si="42"/>
        <v>1206.9000000000001</v>
      </c>
      <c r="K89" s="121">
        <f t="shared" si="35"/>
        <v>100</v>
      </c>
    </row>
    <row r="90" spans="1:11">
      <c r="A90" s="119" t="s">
        <v>85</v>
      </c>
      <c r="B90" s="120" t="s">
        <v>76</v>
      </c>
      <c r="C90" s="120" t="s">
        <v>93</v>
      </c>
      <c r="D90" s="130" t="s">
        <v>547</v>
      </c>
      <c r="E90" s="137">
        <v>240</v>
      </c>
      <c r="F90" s="121">
        <v>906.9</v>
      </c>
      <c r="G90" s="154">
        <f t="shared" si="33"/>
        <v>300.00000000000011</v>
      </c>
      <c r="H90" s="121">
        <f>906.9+300</f>
        <v>1206.9000000000001</v>
      </c>
      <c r="I90" s="121">
        <v>943.678</v>
      </c>
      <c r="J90" s="121">
        <f>906.9+300</f>
        <v>1206.9000000000001</v>
      </c>
      <c r="K90" s="121">
        <f t="shared" si="35"/>
        <v>100</v>
      </c>
    </row>
    <row r="91" spans="1:11" ht="24">
      <c r="A91" s="141" t="s">
        <v>548</v>
      </c>
      <c r="B91" s="111" t="s">
        <v>76</v>
      </c>
      <c r="C91" s="111" t="s">
        <v>93</v>
      </c>
      <c r="D91" s="142" t="s">
        <v>549</v>
      </c>
      <c r="E91" s="137"/>
      <c r="F91" s="112">
        <f>F92</f>
        <v>1540</v>
      </c>
      <c r="G91" s="154">
        <f t="shared" si="33"/>
        <v>0</v>
      </c>
      <c r="H91" s="112">
        <f>H92</f>
        <v>1540</v>
      </c>
      <c r="I91" s="112">
        <f t="shared" ref="I91:J92" si="43">I92</f>
        <v>502.36500000000001</v>
      </c>
      <c r="J91" s="112">
        <f t="shared" si="43"/>
        <v>1540</v>
      </c>
      <c r="K91" s="112">
        <f t="shared" si="35"/>
        <v>100</v>
      </c>
    </row>
    <row r="92" spans="1:11">
      <c r="A92" s="119" t="s">
        <v>301</v>
      </c>
      <c r="B92" s="120" t="s">
        <v>76</v>
      </c>
      <c r="C92" s="120" t="s">
        <v>93</v>
      </c>
      <c r="D92" s="130" t="s">
        <v>549</v>
      </c>
      <c r="E92" s="137">
        <v>200</v>
      </c>
      <c r="F92" s="121">
        <f>F93</f>
        <v>1540</v>
      </c>
      <c r="G92" s="154">
        <f t="shared" si="33"/>
        <v>0</v>
      </c>
      <c r="H92" s="121">
        <f>H93</f>
        <v>1540</v>
      </c>
      <c r="I92" s="121">
        <f t="shared" si="43"/>
        <v>502.36500000000001</v>
      </c>
      <c r="J92" s="121">
        <f t="shared" si="43"/>
        <v>1540</v>
      </c>
      <c r="K92" s="121">
        <f t="shared" si="35"/>
        <v>100</v>
      </c>
    </row>
    <row r="93" spans="1:11">
      <c r="A93" s="119" t="s">
        <v>85</v>
      </c>
      <c r="B93" s="120" t="s">
        <v>76</v>
      </c>
      <c r="C93" s="120" t="s">
        <v>93</v>
      </c>
      <c r="D93" s="130" t="s">
        <v>549</v>
      </c>
      <c r="E93" s="137">
        <v>240</v>
      </c>
      <c r="F93" s="121">
        <v>1540</v>
      </c>
      <c r="G93" s="154">
        <f t="shared" si="33"/>
        <v>0</v>
      </c>
      <c r="H93" s="121">
        <v>1540</v>
      </c>
      <c r="I93" s="121">
        <v>502.36500000000001</v>
      </c>
      <c r="J93" s="121">
        <v>1540</v>
      </c>
      <c r="K93" s="121">
        <f t="shared" si="35"/>
        <v>100</v>
      </c>
    </row>
    <row r="94" spans="1:11" ht="24">
      <c r="A94" s="141" t="s">
        <v>550</v>
      </c>
      <c r="B94" s="111" t="s">
        <v>76</v>
      </c>
      <c r="C94" s="111" t="s">
        <v>93</v>
      </c>
      <c r="D94" s="142" t="s">
        <v>551</v>
      </c>
      <c r="E94" s="137"/>
      <c r="F94" s="112">
        <f>F95</f>
        <v>4164</v>
      </c>
      <c r="G94" s="154">
        <f t="shared" si="33"/>
        <v>-300</v>
      </c>
      <c r="H94" s="112">
        <f>H95</f>
        <v>3864</v>
      </c>
      <c r="I94" s="112">
        <f t="shared" ref="I94:J95" si="44">I95</f>
        <v>1999.4079999999999</v>
      </c>
      <c r="J94" s="112">
        <f t="shared" si="44"/>
        <v>3864</v>
      </c>
      <c r="K94" s="112">
        <f t="shared" si="35"/>
        <v>100</v>
      </c>
    </row>
    <row r="95" spans="1:11">
      <c r="A95" s="119" t="s">
        <v>301</v>
      </c>
      <c r="B95" s="120" t="s">
        <v>76</v>
      </c>
      <c r="C95" s="120" t="s">
        <v>93</v>
      </c>
      <c r="D95" s="130" t="s">
        <v>551</v>
      </c>
      <c r="E95" s="137">
        <v>200</v>
      </c>
      <c r="F95" s="121">
        <f>F96</f>
        <v>4164</v>
      </c>
      <c r="G95" s="154">
        <f t="shared" si="33"/>
        <v>-300</v>
      </c>
      <c r="H95" s="121">
        <f>H96</f>
        <v>3864</v>
      </c>
      <c r="I95" s="121">
        <f t="shared" si="44"/>
        <v>1999.4079999999999</v>
      </c>
      <c r="J95" s="121">
        <f t="shared" si="44"/>
        <v>3864</v>
      </c>
      <c r="K95" s="121">
        <f t="shared" si="35"/>
        <v>100</v>
      </c>
    </row>
    <row r="96" spans="1:11">
      <c r="A96" s="119" t="s">
        <v>85</v>
      </c>
      <c r="B96" s="120" t="s">
        <v>76</v>
      </c>
      <c r="C96" s="120" t="s">
        <v>93</v>
      </c>
      <c r="D96" s="130" t="s">
        <v>551</v>
      </c>
      <c r="E96" s="137">
        <v>240</v>
      </c>
      <c r="F96" s="121">
        <v>4164</v>
      </c>
      <c r="G96" s="154">
        <f t="shared" si="33"/>
        <v>-300</v>
      </c>
      <c r="H96" s="121">
        <f>4164-300</f>
        <v>3864</v>
      </c>
      <c r="I96" s="121">
        <v>1999.4079999999999</v>
      </c>
      <c r="J96" s="121">
        <f>4164-300</f>
        <v>3864</v>
      </c>
      <c r="K96" s="121">
        <f t="shared" si="35"/>
        <v>100</v>
      </c>
    </row>
    <row r="97" spans="1:11" ht="24">
      <c r="A97" s="141" t="s">
        <v>552</v>
      </c>
      <c r="B97" s="111" t="s">
        <v>76</v>
      </c>
      <c r="C97" s="111" t="s">
        <v>93</v>
      </c>
      <c r="D97" s="142" t="s">
        <v>553</v>
      </c>
      <c r="E97" s="137"/>
      <c r="F97" s="112">
        <f>F98</f>
        <v>2650</v>
      </c>
      <c r="G97" s="154">
        <f t="shared" si="33"/>
        <v>0</v>
      </c>
      <c r="H97" s="112">
        <f>H98</f>
        <v>2650</v>
      </c>
      <c r="I97" s="112">
        <f t="shared" ref="I97:J98" si="45">I98</f>
        <v>1306.501</v>
      </c>
      <c r="J97" s="112">
        <f t="shared" si="45"/>
        <v>2650</v>
      </c>
      <c r="K97" s="112">
        <f t="shared" si="35"/>
        <v>100</v>
      </c>
    </row>
    <row r="98" spans="1:11">
      <c r="A98" s="119" t="s">
        <v>301</v>
      </c>
      <c r="B98" s="120" t="s">
        <v>76</v>
      </c>
      <c r="C98" s="120" t="s">
        <v>93</v>
      </c>
      <c r="D98" s="130" t="s">
        <v>553</v>
      </c>
      <c r="E98" s="137">
        <v>200</v>
      </c>
      <c r="F98" s="121">
        <f>F99</f>
        <v>2650</v>
      </c>
      <c r="G98" s="154">
        <f t="shared" si="33"/>
        <v>0</v>
      </c>
      <c r="H98" s="121">
        <f>H99</f>
        <v>2650</v>
      </c>
      <c r="I98" s="121">
        <f t="shared" si="45"/>
        <v>1306.501</v>
      </c>
      <c r="J98" s="121">
        <f t="shared" si="45"/>
        <v>2650</v>
      </c>
      <c r="K98" s="121">
        <f t="shared" si="35"/>
        <v>100</v>
      </c>
    </row>
    <row r="99" spans="1:11">
      <c r="A99" s="119" t="s">
        <v>85</v>
      </c>
      <c r="B99" s="120" t="s">
        <v>76</v>
      </c>
      <c r="C99" s="120" t="s">
        <v>93</v>
      </c>
      <c r="D99" s="130" t="s">
        <v>553</v>
      </c>
      <c r="E99" s="137">
        <v>240</v>
      </c>
      <c r="F99" s="121">
        <v>2650</v>
      </c>
      <c r="G99" s="154">
        <f t="shared" si="33"/>
        <v>0</v>
      </c>
      <c r="H99" s="121">
        <v>2650</v>
      </c>
      <c r="I99" s="121">
        <v>1306.501</v>
      </c>
      <c r="J99" s="121">
        <v>2650</v>
      </c>
      <c r="K99" s="121">
        <f t="shared" si="35"/>
        <v>100</v>
      </c>
    </row>
    <row r="100" spans="1:11" ht="24">
      <c r="A100" s="141" t="s">
        <v>252</v>
      </c>
      <c r="B100" s="111" t="s">
        <v>76</v>
      </c>
      <c r="C100" s="111" t="s">
        <v>93</v>
      </c>
      <c r="D100" s="142" t="s">
        <v>554</v>
      </c>
      <c r="E100" s="137"/>
      <c r="F100" s="134">
        <f>F101</f>
        <v>800</v>
      </c>
      <c r="G100" s="154">
        <f t="shared" si="33"/>
        <v>0</v>
      </c>
      <c r="H100" s="134">
        <f>H101</f>
        <v>800</v>
      </c>
      <c r="I100" s="134">
        <f t="shared" ref="I100:J101" si="46">I101</f>
        <v>99.82</v>
      </c>
      <c r="J100" s="134">
        <f t="shared" si="46"/>
        <v>800</v>
      </c>
      <c r="K100" s="112">
        <f t="shared" si="35"/>
        <v>100</v>
      </c>
    </row>
    <row r="101" spans="1:11">
      <c r="A101" s="119" t="s">
        <v>301</v>
      </c>
      <c r="B101" s="120" t="s">
        <v>76</v>
      </c>
      <c r="C101" s="120" t="s">
        <v>93</v>
      </c>
      <c r="D101" s="130" t="s">
        <v>554</v>
      </c>
      <c r="E101" s="137">
        <v>200</v>
      </c>
      <c r="F101" s="135">
        <f>F102</f>
        <v>800</v>
      </c>
      <c r="G101" s="154">
        <f t="shared" si="33"/>
        <v>0</v>
      </c>
      <c r="H101" s="135">
        <f>H102</f>
        <v>800</v>
      </c>
      <c r="I101" s="135">
        <f t="shared" si="46"/>
        <v>99.82</v>
      </c>
      <c r="J101" s="135">
        <f t="shared" si="46"/>
        <v>800</v>
      </c>
      <c r="K101" s="121">
        <f t="shared" si="35"/>
        <v>100</v>
      </c>
    </row>
    <row r="102" spans="1:11">
      <c r="A102" s="119" t="s">
        <v>85</v>
      </c>
      <c r="B102" s="120" t="s">
        <v>76</v>
      </c>
      <c r="C102" s="120" t="s">
        <v>93</v>
      </c>
      <c r="D102" s="130" t="s">
        <v>554</v>
      </c>
      <c r="E102" s="137">
        <v>240</v>
      </c>
      <c r="F102" s="135">
        <v>800</v>
      </c>
      <c r="G102" s="154">
        <f t="shared" si="33"/>
        <v>0</v>
      </c>
      <c r="H102" s="135">
        <v>800</v>
      </c>
      <c r="I102" s="135">
        <v>99.82</v>
      </c>
      <c r="J102" s="135">
        <v>800</v>
      </c>
      <c r="K102" s="121">
        <f t="shared" si="35"/>
        <v>100</v>
      </c>
    </row>
    <row r="103" spans="1:11">
      <c r="A103" s="141" t="s">
        <v>253</v>
      </c>
      <c r="B103" s="111" t="s">
        <v>76</v>
      </c>
      <c r="C103" s="111" t="s">
        <v>93</v>
      </c>
      <c r="D103" s="142" t="s">
        <v>555</v>
      </c>
      <c r="E103" s="137"/>
      <c r="F103" s="112">
        <f>F104</f>
        <v>500</v>
      </c>
      <c r="G103" s="154">
        <f t="shared" si="33"/>
        <v>0</v>
      </c>
      <c r="H103" s="112">
        <f>H104</f>
        <v>500</v>
      </c>
      <c r="I103" s="112">
        <f t="shared" ref="I103:J104" si="47">I104</f>
        <v>130.5</v>
      </c>
      <c r="J103" s="112">
        <f t="shared" si="47"/>
        <v>500</v>
      </c>
      <c r="K103" s="112">
        <f t="shared" si="35"/>
        <v>100</v>
      </c>
    </row>
    <row r="104" spans="1:11">
      <c r="A104" s="119" t="s">
        <v>301</v>
      </c>
      <c r="B104" s="120" t="s">
        <v>76</v>
      </c>
      <c r="C104" s="120" t="s">
        <v>93</v>
      </c>
      <c r="D104" s="130" t="s">
        <v>555</v>
      </c>
      <c r="E104" s="137">
        <v>200</v>
      </c>
      <c r="F104" s="121">
        <f>F105</f>
        <v>500</v>
      </c>
      <c r="G104" s="154">
        <f t="shared" si="33"/>
        <v>0</v>
      </c>
      <c r="H104" s="121">
        <f>H105</f>
        <v>500</v>
      </c>
      <c r="I104" s="121">
        <f t="shared" si="47"/>
        <v>130.5</v>
      </c>
      <c r="J104" s="121">
        <f t="shared" si="47"/>
        <v>500</v>
      </c>
      <c r="K104" s="121">
        <f t="shared" si="35"/>
        <v>100</v>
      </c>
    </row>
    <row r="105" spans="1:11">
      <c r="A105" s="119" t="s">
        <v>85</v>
      </c>
      <c r="B105" s="120" t="s">
        <v>76</v>
      </c>
      <c r="C105" s="120" t="s">
        <v>93</v>
      </c>
      <c r="D105" s="130" t="s">
        <v>555</v>
      </c>
      <c r="E105" s="137">
        <v>240</v>
      </c>
      <c r="F105" s="121">
        <v>500</v>
      </c>
      <c r="G105" s="154">
        <f t="shared" si="33"/>
        <v>0</v>
      </c>
      <c r="H105" s="121">
        <v>500</v>
      </c>
      <c r="I105" s="121">
        <v>130.5</v>
      </c>
      <c r="J105" s="121">
        <v>500</v>
      </c>
      <c r="K105" s="121">
        <f t="shared" si="35"/>
        <v>100</v>
      </c>
    </row>
    <row r="106" spans="1:11" ht="13.5">
      <c r="A106" s="123" t="s">
        <v>39</v>
      </c>
      <c r="B106" s="114" t="s">
        <v>76</v>
      </c>
      <c r="C106" s="114" t="s">
        <v>93</v>
      </c>
      <c r="D106" s="149" t="s">
        <v>40</v>
      </c>
      <c r="E106" s="147"/>
      <c r="F106" s="115">
        <f>F107+F110</f>
        <v>2700</v>
      </c>
      <c r="G106" s="154">
        <f t="shared" si="33"/>
        <v>0</v>
      </c>
      <c r="H106" s="115">
        <f>H107+H110</f>
        <v>2700</v>
      </c>
      <c r="I106" s="230">
        <f t="shared" ref="I106:J106" si="48">I107+I110</f>
        <v>0</v>
      </c>
      <c r="J106" s="115">
        <f t="shared" si="48"/>
        <v>2700</v>
      </c>
      <c r="K106" s="126">
        <f t="shared" si="35"/>
        <v>100</v>
      </c>
    </row>
    <row r="107" spans="1:11">
      <c r="A107" s="110" t="s">
        <v>41</v>
      </c>
      <c r="B107" s="111" t="s">
        <v>76</v>
      </c>
      <c r="C107" s="111" t="s">
        <v>93</v>
      </c>
      <c r="D107" s="111" t="s">
        <v>556</v>
      </c>
      <c r="E107" s="150"/>
      <c r="F107" s="112">
        <f>F108</f>
        <v>1000</v>
      </c>
      <c r="G107" s="154">
        <f t="shared" si="33"/>
        <v>0</v>
      </c>
      <c r="H107" s="112">
        <f>H108</f>
        <v>1000</v>
      </c>
      <c r="I107" s="228">
        <f t="shared" ref="I107:J108" si="49">I108</f>
        <v>0</v>
      </c>
      <c r="J107" s="112">
        <f t="shared" si="49"/>
        <v>1000</v>
      </c>
      <c r="K107" s="112">
        <f t="shared" si="35"/>
        <v>100</v>
      </c>
    </row>
    <row r="108" spans="1:11">
      <c r="A108" s="119" t="s">
        <v>301</v>
      </c>
      <c r="B108" s="120" t="s">
        <v>76</v>
      </c>
      <c r="C108" s="120" t="s">
        <v>93</v>
      </c>
      <c r="D108" s="130" t="s">
        <v>556</v>
      </c>
      <c r="E108" s="137">
        <v>200</v>
      </c>
      <c r="F108" s="121">
        <f>F109</f>
        <v>1000</v>
      </c>
      <c r="G108" s="154">
        <f t="shared" si="33"/>
        <v>0</v>
      </c>
      <c r="H108" s="121">
        <f>H109</f>
        <v>1000</v>
      </c>
      <c r="I108" s="229">
        <f t="shared" si="49"/>
        <v>0</v>
      </c>
      <c r="J108" s="121">
        <f t="shared" si="49"/>
        <v>1000</v>
      </c>
      <c r="K108" s="121">
        <f t="shared" si="35"/>
        <v>100</v>
      </c>
    </row>
    <row r="109" spans="1:11">
      <c r="A109" s="119" t="s">
        <v>85</v>
      </c>
      <c r="B109" s="120" t="s">
        <v>76</v>
      </c>
      <c r="C109" s="120" t="s">
        <v>93</v>
      </c>
      <c r="D109" s="130" t="s">
        <v>556</v>
      </c>
      <c r="E109" s="137">
        <v>240</v>
      </c>
      <c r="F109" s="121">
        <v>1000</v>
      </c>
      <c r="G109" s="154">
        <f t="shared" si="33"/>
        <v>0</v>
      </c>
      <c r="H109" s="121">
        <v>1000</v>
      </c>
      <c r="I109" s="229">
        <v>0</v>
      </c>
      <c r="J109" s="121">
        <v>1000</v>
      </c>
      <c r="K109" s="121">
        <f t="shared" si="35"/>
        <v>100</v>
      </c>
    </row>
    <row r="110" spans="1:11" ht="24">
      <c r="A110" s="110" t="s">
        <v>557</v>
      </c>
      <c r="B110" s="111" t="s">
        <v>76</v>
      </c>
      <c r="C110" s="111" t="s">
        <v>93</v>
      </c>
      <c r="D110" s="142" t="s">
        <v>558</v>
      </c>
      <c r="E110" s="150"/>
      <c r="F110" s="112">
        <f>F111</f>
        <v>1700</v>
      </c>
      <c r="G110" s="154">
        <f t="shared" si="33"/>
        <v>0</v>
      </c>
      <c r="H110" s="112">
        <f>H111</f>
        <v>1700</v>
      </c>
      <c r="I110" s="228">
        <f t="shared" ref="I110:J111" si="50">I111</f>
        <v>0</v>
      </c>
      <c r="J110" s="112">
        <f t="shared" si="50"/>
        <v>1700</v>
      </c>
      <c r="K110" s="112">
        <f t="shared" si="35"/>
        <v>100</v>
      </c>
    </row>
    <row r="111" spans="1:11">
      <c r="A111" s="119" t="s">
        <v>301</v>
      </c>
      <c r="B111" s="120" t="s">
        <v>76</v>
      </c>
      <c r="C111" s="120" t="s">
        <v>93</v>
      </c>
      <c r="D111" s="130" t="s">
        <v>558</v>
      </c>
      <c r="E111" s="137">
        <v>200</v>
      </c>
      <c r="F111" s="121">
        <f>F112</f>
        <v>1700</v>
      </c>
      <c r="G111" s="154">
        <f t="shared" si="33"/>
        <v>0</v>
      </c>
      <c r="H111" s="121">
        <f>H112</f>
        <v>1700</v>
      </c>
      <c r="I111" s="229">
        <f t="shared" si="50"/>
        <v>0</v>
      </c>
      <c r="J111" s="121">
        <f t="shared" si="50"/>
        <v>1700</v>
      </c>
      <c r="K111" s="121">
        <f t="shared" si="35"/>
        <v>100</v>
      </c>
    </row>
    <row r="112" spans="1:11">
      <c r="A112" s="119" t="s">
        <v>85</v>
      </c>
      <c r="B112" s="120" t="s">
        <v>76</v>
      </c>
      <c r="C112" s="120" t="s">
        <v>93</v>
      </c>
      <c r="D112" s="130" t="s">
        <v>558</v>
      </c>
      <c r="E112" s="137">
        <v>240</v>
      </c>
      <c r="F112" s="121">
        <v>1700</v>
      </c>
      <c r="G112" s="154">
        <f t="shared" si="33"/>
        <v>0</v>
      </c>
      <c r="H112" s="121">
        <v>1700</v>
      </c>
      <c r="I112" s="229">
        <v>0</v>
      </c>
      <c r="J112" s="121">
        <v>1700</v>
      </c>
      <c r="K112" s="121">
        <f t="shared" si="35"/>
        <v>100</v>
      </c>
    </row>
    <row r="113" spans="1:11" ht="24">
      <c r="A113" s="124" t="s">
        <v>297</v>
      </c>
      <c r="B113" s="125" t="s">
        <v>76</v>
      </c>
      <c r="C113" s="125" t="s">
        <v>93</v>
      </c>
      <c r="D113" s="129" t="s">
        <v>238</v>
      </c>
      <c r="E113" s="151"/>
      <c r="F113" s="136">
        <f>F114</f>
        <v>1720</v>
      </c>
      <c r="G113" s="154">
        <f t="shared" si="33"/>
        <v>0</v>
      </c>
      <c r="H113" s="136">
        <f>H114</f>
        <v>1720</v>
      </c>
      <c r="I113" s="136">
        <f t="shared" ref="I113:J116" si="51">I114</f>
        <v>300.35000000000002</v>
      </c>
      <c r="J113" s="136">
        <f t="shared" si="51"/>
        <v>860</v>
      </c>
      <c r="K113" s="126">
        <f t="shared" si="35"/>
        <v>50</v>
      </c>
    </row>
    <row r="114" spans="1:11" ht="24">
      <c r="A114" s="124" t="s">
        <v>559</v>
      </c>
      <c r="B114" s="125" t="s">
        <v>76</v>
      </c>
      <c r="C114" s="125" t="s">
        <v>93</v>
      </c>
      <c r="D114" s="129" t="s">
        <v>560</v>
      </c>
      <c r="E114" s="151"/>
      <c r="F114" s="136">
        <f>F115</f>
        <v>1720</v>
      </c>
      <c r="G114" s="154">
        <f t="shared" si="33"/>
        <v>0</v>
      </c>
      <c r="H114" s="136">
        <f>H115</f>
        <v>1720</v>
      </c>
      <c r="I114" s="136">
        <f t="shared" si="51"/>
        <v>300.35000000000002</v>
      </c>
      <c r="J114" s="136">
        <f t="shared" si="51"/>
        <v>860</v>
      </c>
      <c r="K114" s="126">
        <f t="shared" si="35"/>
        <v>50</v>
      </c>
    </row>
    <row r="115" spans="1:11" ht="24">
      <c r="A115" s="110" t="s">
        <v>561</v>
      </c>
      <c r="B115" s="111" t="s">
        <v>76</v>
      </c>
      <c r="C115" s="111" t="s">
        <v>93</v>
      </c>
      <c r="D115" s="142" t="s">
        <v>562</v>
      </c>
      <c r="E115" s="150"/>
      <c r="F115" s="134">
        <f>F116</f>
        <v>1720</v>
      </c>
      <c r="G115" s="154">
        <f t="shared" si="33"/>
        <v>0</v>
      </c>
      <c r="H115" s="134">
        <f>H116</f>
        <v>1720</v>
      </c>
      <c r="I115" s="134">
        <f t="shared" si="51"/>
        <v>300.35000000000002</v>
      </c>
      <c r="J115" s="134">
        <f t="shared" si="51"/>
        <v>860</v>
      </c>
      <c r="K115" s="112">
        <f t="shared" si="35"/>
        <v>50</v>
      </c>
    </row>
    <row r="116" spans="1:11">
      <c r="A116" s="119" t="s">
        <v>301</v>
      </c>
      <c r="B116" s="120" t="s">
        <v>76</v>
      </c>
      <c r="C116" s="120" t="s">
        <v>93</v>
      </c>
      <c r="D116" s="130" t="s">
        <v>562</v>
      </c>
      <c r="E116" s="137">
        <v>200</v>
      </c>
      <c r="F116" s="135">
        <f>F117</f>
        <v>1720</v>
      </c>
      <c r="G116" s="154">
        <f t="shared" si="33"/>
        <v>0</v>
      </c>
      <c r="H116" s="135">
        <f>H117</f>
        <v>1720</v>
      </c>
      <c r="I116" s="135">
        <f t="shared" si="51"/>
        <v>300.35000000000002</v>
      </c>
      <c r="J116" s="135">
        <f t="shared" si="51"/>
        <v>860</v>
      </c>
      <c r="K116" s="121">
        <f t="shared" si="35"/>
        <v>50</v>
      </c>
    </row>
    <row r="117" spans="1:11">
      <c r="A117" s="119" t="s">
        <v>85</v>
      </c>
      <c r="B117" s="120" t="s">
        <v>76</v>
      </c>
      <c r="C117" s="120" t="s">
        <v>93</v>
      </c>
      <c r="D117" s="130" t="s">
        <v>562</v>
      </c>
      <c r="E117" s="137">
        <v>240</v>
      </c>
      <c r="F117" s="135">
        <v>1720</v>
      </c>
      <c r="G117" s="154">
        <f t="shared" si="33"/>
        <v>0</v>
      </c>
      <c r="H117" s="135">
        <v>1720</v>
      </c>
      <c r="I117" s="135">
        <v>300.35000000000002</v>
      </c>
      <c r="J117" s="135">
        <v>860</v>
      </c>
      <c r="K117" s="121">
        <f t="shared" si="35"/>
        <v>50</v>
      </c>
    </row>
    <row r="118" spans="1:11" ht="27">
      <c r="A118" s="158" t="s">
        <v>579</v>
      </c>
      <c r="B118" s="114" t="s">
        <v>76</v>
      </c>
      <c r="C118" s="114" t="s">
        <v>93</v>
      </c>
      <c r="D118" s="114" t="s">
        <v>103</v>
      </c>
      <c r="E118" s="114"/>
      <c r="F118" s="115">
        <f>F119</f>
        <v>800</v>
      </c>
      <c r="G118" s="154">
        <f t="shared" si="33"/>
        <v>0</v>
      </c>
      <c r="H118" s="115">
        <f>H119</f>
        <v>800</v>
      </c>
      <c r="I118" s="115">
        <f t="shared" ref="I118:J121" si="52">I119</f>
        <v>277.3</v>
      </c>
      <c r="J118" s="115">
        <f t="shared" si="52"/>
        <v>500</v>
      </c>
      <c r="K118" s="115">
        <f t="shared" si="35"/>
        <v>62.5</v>
      </c>
    </row>
    <row r="119" spans="1:11">
      <c r="A119" s="153" t="s">
        <v>501</v>
      </c>
      <c r="B119" s="111" t="s">
        <v>76</v>
      </c>
      <c r="C119" s="111" t="s">
        <v>93</v>
      </c>
      <c r="D119" s="111" t="s">
        <v>503</v>
      </c>
      <c r="E119" s="111"/>
      <c r="F119" s="112">
        <f>F120</f>
        <v>800</v>
      </c>
      <c r="G119" s="154">
        <f t="shared" si="33"/>
        <v>0</v>
      </c>
      <c r="H119" s="112">
        <f>H120</f>
        <v>800</v>
      </c>
      <c r="I119" s="112">
        <f t="shared" si="52"/>
        <v>277.3</v>
      </c>
      <c r="J119" s="112">
        <f t="shared" si="52"/>
        <v>500</v>
      </c>
      <c r="K119" s="112">
        <f t="shared" si="35"/>
        <v>62.5</v>
      </c>
    </row>
    <row r="120" spans="1:11">
      <c r="A120" s="140" t="s">
        <v>502</v>
      </c>
      <c r="B120" s="125" t="s">
        <v>76</v>
      </c>
      <c r="C120" s="125" t="s">
        <v>93</v>
      </c>
      <c r="D120" s="125" t="s">
        <v>580</v>
      </c>
      <c r="E120" s="125"/>
      <c r="F120" s="126">
        <f>F121</f>
        <v>800</v>
      </c>
      <c r="G120" s="154">
        <f t="shared" si="33"/>
        <v>0</v>
      </c>
      <c r="H120" s="126">
        <f>H121</f>
        <v>800</v>
      </c>
      <c r="I120" s="126">
        <f t="shared" si="52"/>
        <v>277.3</v>
      </c>
      <c r="J120" s="126">
        <f t="shared" si="52"/>
        <v>500</v>
      </c>
      <c r="K120" s="126">
        <f t="shared" si="35"/>
        <v>62.5</v>
      </c>
    </row>
    <row r="121" spans="1:11" ht="36">
      <c r="A121" s="119" t="s">
        <v>79</v>
      </c>
      <c r="B121" s="120" t="s">
        <v>76</v>
      </c>
      <c r="C121" s="120" t="s">
        <v>93</v>
      </c>
      <c r="D121" s="120" t="s">
        <v>580</v>
      </c>
      <c r="E121" s="120" t="s">
        <v>80</v>
      </c>
      <c r="F121" s="121">
        <f>F122</f>
        <v>800</v>
      </c>
      <c r="G121" s="154">
        <f t="shared" si="33"/>
        <v>0</v>
      </c>
      <c r="H121" s="121">
        <f>H122</f>
        <v>800</v>
      </c>
      <c r="I121" s="121">
        <f t="shared" si="52"/>
        <v>277.3</v>
      </c>
      <c r="J121" s="121">
        <f t="shared" si="52"/>
        <v>500</v>
      </c>
      <c r="K121" s="121">
        <f t="shared" si="35"/>
        <v>62.5</v>
      </c>
    </row>
    <row r="122" spans="1:11">
      <c r="A122" s="119" t="s">
        <v>81</v>
      </c>
      <c r="B122" s="120" t="s">
        <v>76</v>
      </c>
      <c r="C122" s="120" t="s">
        <v>93</v>
      </c>
      <c r="D122" s="120" t="s">
        <v>580</v>
      </c>
      <c r="E122" s="120" t="s">
        <v>82</v>
      </c>
      <c r="F122" s="121">
        <v>800</v>
      </c>
      <c r="G122" s="154">
        <f t="shared" si="33"/>
        <v>0</v>
      </c>
      <c r="H122" s="121">
        <v>800</v>
      </c>
      <c r="I122" s="121">
        <v>277.3</v>
      </c>
      <c r="J122" s="121">
        <f>800-300</f>
        <v>500</v>
      </c>
      <c r="K122" s="121">
        <f t="shared" si="35"/>
        <v>62.5</v>
      </c>
    </row>
    <row r="123" spans="1:11">
      <c r="A123" s="145" t="s">
        <v>74</v>
      </c>
      <c r="B123" s="125" t="s">
        <v>76</v>
      </c>
      <c r="C123" s="125" t="s">
        <v>93</v>
      </c>
      <c r="D123" s="125" t="s">
        <v>214</v>
      </c>
      <c r="E123" s="125"/>
      <c r="F123" s="126" t="e">
        <f>F124</f>
        <v>#REF!</v>
      </c>
      <c r="G123" s="154" t="e">
        <f t="shared" si="33"/>
        <v>#REF!</v>
      </c>
      <c r="H123" s="126">
        <f>H124</f>
        <v>66304.323000000004</v>
      </c>
      <c r="I123" s="126">
        <f t="shared" ref="I123:J123" si="53">I124</f>
        <v>46192.984000000004</v>
      </c>
      <c r="J123" s="126">
        <f t="shared" si="53"/>
        <v>64978.222999999998</v>
      </c>
      <c r="K123" s="126">
        <f t="shared" si="35"/>
        <v>97.999979579008738</v>
      </c>
    </row>
    <row r="124" spans="1:11">
      <c r="A124" s="110" t="s">
        <v>304</v>
      </c>
      <c r="B124" s="111" t="s">
        <v>76</v>
      </c>
      <c r="C124" s="111" t="s">
        <v>93</v>
      </c>
      <c r="D124" s="111" t="s">
        <v>215</v>
      </c>
      <c r="E124" s="111"/>
      <c r="F124" s="112" t="e">
        <f>F125+F143+F146+F149+F153+#REF!+F156</f>
        <v>#REF!</v>
      </c>
      <c r="G124" s="154" t="e">
        <f t="shared" si="33"/>
        <v>#REF!</v>
      </c>
      <c r="H124" s="112">
        <f>H125+H143+H146+H149+H153+H156</f>
        <v>66304.323000000004</v>
      </c>
      <c r="I124" s="112">
        <f t="shared" ref="I124:J124" si="54">I125+I143+I146+I149+I153+I156</f>
        <v>46192.984000000004</v>
      </c>
      <c r="J124" s="112">
        <f t="shared" si="54"/>
        <v>64978.222999999998</v>
      </c>
      <c r="K124" s="112">
        <f t="shared" si="35"/>
        <v>97.999979579008738</v>
      </c>
    </row>
    <row r="125" spans="1:11">
      <c r="A125" s="143" t="s">
        <v>485</v>
      </c>
      <c r="B125" s="139" t="s">
        <v>76</v>
      </c>
      <c r="C125" s="139" t="s">
        <v>93</v>
      </c>
      <c r="D125" s="139" t="s">
        <v>215</v>
      </c>
      <c r="E125" s="125"/>
      <c r="F125" s="144">
        <f>F126+F133+F136</f>
        <v>53797</v>
      </c>
      <c r="G125" s="154">
        <f t="shared" si="33"/>
        <v>0</v>
      </c>
      <c r="H125" s="144">
        <f>H126+H133+H136</f>
        <v>53797</v>
      </c>
      <c r="I125" s="144">
        <f t="shared" ref="I125:J125" si="55">I126+I133+I136</f>
        <v>41460.175000000003</v>
      </c>
      <c r="J125" s="144">
        <f t="shared" si="55"/>
        <v>53797</v>
      </c>
      <c r="K125" s="144">
        <f t="shared" si="35"/>
        <v>100</v>
      </c>
    </row>
    <row r="126" spans="1:11" ht="24">
      <c r="A126" s="110" t="s">
        <v>540</v>
      </c>
      <c r="B126" s="111" t="s">
        <v>76</v>
      </c>
      <c r="C126" s="111" t="s">
        <v>93</v>
      </c>
      <c r="D126" s="111" t="s">
        <v>322</v>
      </c>
      <c r="E126" s="111"/>
      <c r="F126" s="112">
        <f>F127+F129+F131</f>
        <v>42202</v>
      </c>
      <c r="G126" s="154">
        <f t="shared" si="33"/>
        <v>0</v>
      </c>
      <c r="H126" s="112">
        <f>H127+H129+H131</f>
        <v>42202</v>
      </c>
      <c r="I126" s="112">
        <f t="shared" ref="I126:J126" si="56">I127+I129+I131</f>
        <v>33070.294000000002</v>
      </c>
      <c r="J126" s="112">
        <f t="shared" si="56"/>
        <v>42202</v>
      </c>
      <c r="K126" s="112">
        <f t="shared" si="35"/>
        <v>100</v>
      </c>
    </row>
    <row r="127" spans="1:11" ht="36">
      <c r="A127" s="119" t="s">
        <v>79</v>
      </c>
      <c r="B127" s="120" t="s">
        <v>76</v>
      </c>
      <c r="C127" s="120" t="s">
        <v>93</v>
      </c>
      <c r="D127" s="120" t="s">
        <v>322</v>
      </c>
      <c r="E127" s="120" t="s">
        <v>80</v>
      </c>
      <c r="F127" s="121">
        <f>F128</f>
        <v>34260</v>
      </c>
      <c r="G127" s="154">
        <f t="shared" si="33"/>
        <v>-1000</v>
      </c>
      <c r="H127" s="121">
        <f>H128</f>
        <v>33260</v>
      </c>
      <c r="I127" s="121">
        <f t="shared" ref="I127:J127" si="57">I128</f>
        <v>27348.896000000001</v>
      </c>
      <c r="J127" s="121">
        <f t="shared" si="57"/>
        <v>33260</v>
      </c>
      <c r="K127" s="121">
        <f t="shared" si="35"/>
        <v>100</v>
      </c>
    </row>
    <row r="128" spans="1:11">
      <c r="A128" s="119" t="s">
        <v>486</v>
      </c>
      <c r="B128" s="120" t="s">
        <v>76</v>
      </c>
      <c r="C128" s="120" t="s">
        <v>93</v>
      </c>
      <c r="D128" s="120" t="s">
        <v>322</v>
      </c>
      <c r="E128" s="120" t="s">
        <v>487</v>
      </c>
      <c r="F128" s="121">
        <f>26240+100+7920</f>
        <v>34260</v>
      </c>
      <c r="G128" s="154">
        <f t="shared" si="33"/>
        <v>-1000</v>
      </c>
      <c r="H128" s="121">
        <f>26240+100+7920-1000</f>
        <v>33260</v>
      </c>
      <c r="I128" s="121">
        <v>27348.896000000001</v>
      </c>
      <c r="J128" s="121">
        <f>26240+100+7920-1000</f>
        <v>33260</v>
      </c>
      <c r="K128" s="121">
        <f t="shared" si="35"/>
        <v>100</v>
      </c>
    </row>
    <row r="129" spans="1:11">
      <c r="A129" s="119" t="s">
        <v>301</v>
      </c>
      <c r="B129" s="120" t="s">
        <v>76</v>
      </c>
      <c r="C129" s="120" t="s">
        <v>93</v>
      </c>
      <c r="D129" s="120" t="s">
        <v>322</v>
      </c>
      <c r="E129" s="120" t="s">
        <v>84</v>
      </c>
      <c r="F129" s="121">
        <f>F130</f>
        <v>7692</v>
      </c>
      <c r="G129" s="154">
        <f t="shared" si="33"/>
        <v>1000</v>
      </c>
      <c r="H129" s="121">
        <f>H130</f>
        <v>8692</v>
      </c>
      <c r="I129" s="121">
        <f t="shared" ref="I129:J129" si="58">I130</f>
        <v>5636.9780000000001</v>
      </c>
      <c r="J129" s="121">
        <f t="shared" si="58"/>
        <v>8692</v>
      </c>
      <c r="K129" s="121">
        <f t="shared" si="35"/>
        <v>100</v>
      </c>
    </row>
    <row r="130" spans="1:11">
      <c r="A130" s="119" t="s">
        <v>85</v>
      </c>
      <c r="B130" s="120" t="s">
        <v>76</v>
      </c>
      <c r="C130" s="120" t="s">
        <v>93</v>
      </c>
      <c r="D130" s="120" t="s">
        <v>322</v>
      </c>
      <c r="E130" s="120" t="s">
        <v>86</v>
      </c>
      <c r="F130" s="121">
        <f>130+1400+50+100+6012</f>
        <v>7692</v>
      </c>
      <c r="G130" s="154">
        <f t="shared" si="33"/>
        <v>1000</v>
      </c>
      <c r="H130" s="121">
        <f>130+1400+50+100+6012+1000</f>
        <v>8692</v>
      </c>
      <c r="I130" s="121">
        <v>5636.9780000000001</v>
      </c>
      <c r="J130" s="121">
        <f>130+1400+50+100+6012+1000</f>
        <v>8692</v>
      </c>
      <c r="K130" s="121">
        <f t="shared" si="35"/>
        <v>100</v>
      </c>
    </row>
    <row r="131" spans="1:11">
      <c r="A131" s="119" t="s">
        <v>87</v>
      </c>
      <c r="B131" s="120" t="s">
        <v>76</v>
      </c>
      <c r="C131" s="120" t="s">
        <v>93</v>
      </c>
      <c r="D131" s="120" t="s">
        <v>322</v>
      </c>
      <c r="E131" s="120" t="s">
        <v>88</v>
      </c>
      <c r="F131" s="121">
        <f>F132</f>
        <v>250</v>
      </c>
      <c r="G131" s="154">
        <f t="shared" si="33"/>
        <v>0</v>
      </c>
      <c r="H131" s="121">
        <f>H132</f>
        <v>250</v>
      </c>
      <c r="I131" s="121">
        <f t="shared" ref="I131:J131" si="59">I132</f>
        <v>84.42</v>
      </c>
      <c r="J131" s="121">
        <f t="shared" si="59"/>
        <v>250</v>
      </c>
      <c r="K131" s="121">
        <f t="shared" si="35"/>
        <v>100</v>
      </c>
    </row>
    <row r="132" spans="1:11">
      <c r="A132" s="119" t="s">
        <v>514</v>
      </c>
      <c r="B132" s="120" t="s">
        <v>76</v>
      </c>
      <c r="C132" s="120" t="s">
        <v>93</v>
      </c>
      <c r="D132" s="120" t="s">
        <v>322</v>
      </c>
      <c r="E132" s="120" t="s">
        <v>89</v>
      </c>
      <c r="F132" s="121">
        <v>250</v>
      </c>
      <c r="G132" s="154">
        <f t="shared" si="33"/>
        <v>0</v>
      </c>
      <c r="H132" s="121">
        <v>250</v>
      </c>
      <c r="I132" s="121">
        <v>84.42</v>
      </c>
      <c r="J132" s="121">
        <v>250</v>
      </c>
      <c r="K132" s="121">
        <f t="shared" si="35"/>
        <v>100</v>
      </c>
    </row>
    <row r="133" spans="1:11">
      <c r="A133" s="110" t="s">
        <v>128</v>
      </c>
      <c r="B133" s="111" t="s">
        <v>76</v>
      </c>
      <c r="C133" s="111" t="s">
        <v>93</v>
      </c>
      <c r="D133" s="111" t="s">
        <v>327</v>
      </c>
      <c r="E133" s="111"/>
      <c r="F133" s="112">
        <f>F134</f>
        <v>2880</v>
      </c>
      <c r="G133" s="154">
        <f t="shared" si="33"/>
        <v>0</v>
      </c>
      <c r="H133" s="112">
        <f>H134</f>
        <v>2880</v>
      </c>
      <c r="I133" s="112">
        <f t="shared" ref="I133:J134" si="60">I134</f>
        <v>2105.643</v>
      </c>
      <c r="J133" s="112">
        <f t="shared" si="60"/>
        <v>2880</v>
      </c>
      <c r="K133" s="112">
        <f t="shared" si="35"/>
        <v>100</v>
      </c>
    </row>
    <row r="134" spans="1:11" ht="24">
      <c r="A134" s="119" t="s">
        <v>104</v>
      </c>
      <c r="B134" s="120" t="s">
        <v>76</v>
      </c>
      <c r="C134" s="120" t="s">
        <v>93</v>
      </c>
      <c r="D134" s="120" t="s">
        <v>327</v>
      </c>
      <c r="E134" s="120" t="s">
        <v>408</v>
      </c>
      <c r="F134" s="121">
        <f>F135</f>
        <v>2880</v>
      </c>
      <c r="G134" s="154">
        <f t="shared" si="33"/>
        <v>0</v>
      </c>
      <c r="H134" s="121">
        <f>H135</f>
        <v>2880</v>
      </c>
      <c r="I134" s="121">
        <f t="shared" si="60"/>
        <v>2105.643</v>
      </c>
      <c r="J134" s="121">
        <f t="shared" si="60"/>
        <v>2880</v>
      </c>
      <c r="K134" s="121">
        <f t="shared" si="35"/>
        <v>100</v>
      </c>
    </row>
    <row r="135" spans="1:11">
      <c r="A135" s="119" t="s">
        <v>105</v>
      </c>
      <c r="B135" s="120" t="s">
        <v>76</v>
      </c>
      <c r="C135" s="120" t="s">
        <v>93</v>
      </c>
      <c r="D135" s="120" t="s">
        <v>327</v>
      </c>
      <c r="E135" s="120" t="s">
        <v>425</v>
      </c>
      <c r="F135" s="121">
        <v>2880</v>
      </c>
      <c r="G135" s="154">
        <f t="shared" si="33"/>
        <v>0</v>
      </c>
      <c r="H135" s="121">
        <v>2880</v>
      </c>
      <c r="I135" s="121">
        <v>2105.643</v>
      </c>
      <c r="J135" s="121">
        <v>2880</v>
      </c>
      <c r="K135" s="121">
        <f t="shared" si="35"/>
        <v>100</v>
      </c>
    </row>
    <row r="136" spans="1:11">
      <c r="A136" s="110" t="s">
        <v>709</v>
      </c>
      <c r="B136" s="111" t="s">
        <v>76</v>
      </c>
      <c r="C136" s="111" t="s">
        <v>93</v>
      </c>
      <c r="D136" s="111" t="s">
        <v>328</v>
      </c>
      <c r="E136" s="111"/>
      <c r="F136" s="112">
        <f>F137+F139+F141</f>
        <v>8715</v>
      </c>
      <c r="G136" s="154">
        <f t="shared" ref="G136:G200" si="61">H136-F136</f>
        <v>0</v>
      </c>
      <c r="H136" s="112">
        <f>H137+H139+H141</f>
        <v>8715</v>
      </c>
      <c r="I136" s="112">
        <f t="shared" ref="I136:J136" si="62">I137+I139+I141</f>
        <v>6284.2380000000003</v>
      </c>
      <c r="J136" s="112">
        <f t="shared" si="62"/>
        <v>8715</v>
      </c>
      <c r="K136" s="112">
        <f t="shared" si="35"/>
        <v>100</v>
      </c>
    </row>
    <row r="137" spans="1:11" ht="36">
      <c r="A137" s="119" t="s">
        <v>79</v>
      </c>
      <c r="B137" s="120" t="s">
        <v>76</v>
      </c>
      <c r="C137" s="120" t="s">
        <v>93</v>
      </c>
      <c r="D137" s="120" t="s">
        <v>328</v>
      </c>
      <c r="E137" s="120" t="s">
        <v>80</v>
      </c>
      <c r="F137" s="121">
        <f>F138</f>
        <v>8365</v>
      </c>
      <c r="G137" s="154">
        <f t="shared" si="61"/>
        <v>0</v>
      </c>
      <c r="H137" s="121">
        <f>H138</f>
        <v>8365</v>
      </c>
      <c r="I137" s="121">
        <f t="shared" ref="I137:J137" si="63">I138</f>
        <v>6137.3370000000004</v>
      </c>
      <c r="J137" s="121">
        <f t="shared" si="63"/>
        <v>8365</v>
      </c>
      <c r="K137" s="121">
        <f t="shared" ref="K137:K200" si="64">J137/H137*100</f>
        <v>100</v>
      </c>
    </row>
    <row r="138" spans="1:11">
      <c r="A138" s="119" t="s">
        <v>486</v>
      </c>
      <c r="B138" s="120" t="s">
        <v>76</v>
      </c>
      <c r="C138" s="120" t="s">
        <v>93</v>
      </c>
      <c r="D138" s="120" t="s">
        <v>328</v>
      </c>
      <c r="E138" s="120" t="s">
        <v>487</v>
      </c>
      <c r="F138" s="121">
        <f>6305+12+1903+25+120</f>
        <v>8365</v>
      </c>
      <c r="G138" s="154">
        <f t="shared" si="61"/>
        <v>0</v>
      </c>
      <c r="H138" s="121">
        <f>6305+12+1903+25+120</f>
        <v>8365</v>
      </c>
      <c r="I138" s="121">
        <v>6137.3370000000004</v>
      </c>
      <c r="J138" s="121">
        <f>6305+12+1903+25+120</f>
        <v>8365</v>
      </c>
      <c r="K138" s="121">
        <f t="shared" si="64"/>
        <v>100</v>
      </c>
    </row>
    <row r="139" spans="1:11">
      <c r="A139" s="119" t="s">
        <v>301</v>
      </c>
      <c r="B139" s="120" t="s">
        <v>76</v>
      </c>
      <c r="C139" s="120" t="s">
        <v>93</v>
      </c>
      <c r="D139" s="120" t="s">
        <v>328</v>
      </c>
      <c r="E139" s="120" t="s">
        <v>84</v>
      </c>
      <c r="F139" s="121">
        <f>F140</f>
        <v>335</v>
      </c>
      <c r="G139" s="154">
        <f t="shared" si="61"/>
        <v>0</v>
      </c>
      <c r="H139" s="121">
        <f>H140</f>
        <v>335</v>
      </c>
      <c r="I139" s="121">
        <f t="shared" ref="I139:J139" si="65">I140</f>
        <v>140.101</v>
      </c>
      <c r="J139" s="121">
        <f t="shared" si="65"/>
        <v>335</v>
      </c>
      <c r="K139" s="121">
        <f t="shared" si="64"/>
        <v>100</v>
      </c>
    </row>
    <row r="140" spans="1:11">
      <c r="A140" s="119" t="s">
        <v>85</v>
      </c>
      <c r="B140" s="120" t="s">
        <v>76</v>
      </c>
      <c r="C140" s="120" t="s">
        <v>93</v>
      </c>
      <c r="D140" s="120" t="s">
        <v>328</v>
      </c>
      <c r="E140" s="120" t="s">
        <v>86</v>
      </c>
      <c r="F140" s="121">
        <f>10+30+185+40+70</f>
        <v>335</v>
      </c>
      <c r="G140" s="154">
        <f t="shared" si="61"/>
        <v>0</v>
      </c>
      <c r="H140" s="121">
        <f>10+30+185+40+70</f>
        <v>335</v>
      </c>
      <c r="I140" s="121">
        <v>140.101</v>
      </c>
      <c r="J140" s="121">
        <f>10+30+185+40+70</f>
        <v>335</v>
      </c>
      <c r="K140" s="121">
        <f t="shared" si="64"/>
        <v>100</v>
      </c>
    </row>
    <row r="141" spans="1:11">
      <c r="A141" s="119" t="s">
        <v>87</v>
      </c>
      <c r="B141" s="120" t="s">
        <v>76</v>
      </c>
      <c r="C141" s="120" t="s">
        <v>93</v>
      </c>
      <c r="D141" s="120" t="s">
        <v>328</v>
      </c>
      <c r="E141" s="120" t="s">
        <v>88</v>
      </c>
      <c r="F141" s="121">
        <f>F142</f>
        <v>15</v>
      </c>
      <c r="G141" s="154">
        <f t="shared" si="61"/>
        <v>0</v>
      </c>
      <c r="H141" s="121">
        <f>H142</f>
        <v>15</v>
      </c>
      <c r="I141" s="121">
        <f t="shared" ref="I141:J141" si="66">I142</f>
        <v>6.8</v>
      </c>
      <c r="J141" s="121">
        <f t="shared" si="66"/>
        <v>15</v>
      </c>
      <c r="K141" s="121">
        <f t="shared" si="64"/>
        <v>100</v>
      </c>
    </row>
    <row r="142" spans="1:11">
      <c r="A142" s="119" t="s">
        <v>514</v>
      </c>
      <c r="B142" s="120" t="s">
        <v>76</v>
      </c>
      <c r="C142" s="120" t="s">
        <v>93</v>
      </c>
      <c r="D142" s="120" t="s">
        <v>328</v>
      </c>
      <c r="E142" s="120" t="s">
        <v>89</v>
      </c>
      <c r="F142" s="121">
        <v>15</v>
      </c>
      <c r="G142" s="154">
        <f t="shared" si="61"/>
        <v>0</v>
      </c>
      <c r="H142" s="121">
        <v>15</v>
      </c>
      <c r="I142" s="121">
        <v>6.8</v>
      </c>
      <c r="J142" s="121">
        <v>15</v>
      </c>
      <c r="K142" s="121">
        <f t="shared" si="64"/>
        <v>100</v>
      </c>
    </row>
    <row r="143" spans="1:11" ht="24">
      <c r="A143" s="110" t="s">
        <v>130</v>
      </c>
      <c r="B143" s="111" t="s">
        <v>76</v>
      </c>
      <c r="C143" s="111" t="s">
        <v>93</v>
      </c>
      <c r="D143" s="111" t="s">
        <v>57</v>
      </c>
      <c r="E143" s="111"/>
      <c r="F143" s="112">
        <f>F144</f>
        <v>3000</v>
      </c>
      <c r="G143" s="154">
        <f t="shared" si="61"/>
        <v>0</v>
      </c>
      <c r="H143" s="112">
        <f>H144</f>
        <v>3000</v>
      </c>
      <c r="I143" s="134">
        <f t="shared" ref="I143:J144" si="67">I144</f>
        <v>0</v>
      </c>
      <c r="J143" s="112">
        <f t="shared" si="67"/>
        <v>3000</v>
      </c>
      <c r="K143" s="112">
        <f t="shared" si="64"/>
        <v>100</v>
      </c>
    </row>
    <row r="144" spans="1:11">
      <c r="A144" s="119" t="s">
        <v>87</v>
      </c>
      <c r="B144" s="120" t="s">
        <v>76</v>
      </c>
      <c r="C144" s="120" t="s">
        <v>93</v>
      </c>
      <c r="D144" s="120" t="s">
        <v>57</v>
      </c>
      <c r="E144" s="120" t="s">
        <v>88</v>
      </c>
      <c r="F144" s="121">
        <f>F145</f>
        <v>3000</v>
      </c>
      <c r="G144" s="154">
        <f t="shared" si="61"/>
        <v>0</v>
      </c>
      <c r="H144" s="121">
        <f>H145</f>
        <v>3000</v>
      </c>
      <c r="I144" s="135">
        <f t="shared" si="67"/>
        <v>0</v>
      </c>
      <c r="J144" s="121">
        <f t="shared" si="67"/>
        <v>3000</v>
      </c>
      <c r="K144" s="121">
        <f t="shared" si="64"/>
        <v>100</v>
      </c>
    </row>
    <row r="145" spans="1:11">
      <c r="A145" s="119" t="s">
        <v>514</v>
      </c>
      <c r="B145" s="120" t="s">
        <v>76</v>
      </c>
      <c r="C145" s="120" t="s">
        <v>93</v>
      </c>
      <c r="D145" s="120" t="s">
        <v>57</v>
      </c>
      <c r="E145" s="120" t="s">
        <v>89</v>
      </c>
      <c r="F145" s="121">
        <v>3000</v>
      </c>
      <c r="G145" s="154">
        <f t="shared" si="61"/>
        <v>0</v>
      </c>
      <c r="H145" s="121">
        <v>3000</v>
      </c>
      <c r="I145" s="135">
        <v>0</v>
      </c>
      <c r="J145" s="121">
        <v>3000</v>
      </c>
      <c r="K145" s="121">
        <f t="shared" si="64"/>
        <v>100</v>
      </c>
    </row>
    <row r="146" spans="1:11">
      <c r="A146" s="110" t="s">
        <v>131</v>
      </c>
      <c r="B146" s="111" t="s">
        <v>76</v>
      </c>
      <c r="C146" s="111" t="s">
        <v>93</v>
      </c>
      <c r="D146" s="111" t="s">
        <v>132</v>
      </c>
      <c r="E146" s="111"/>
      <c r="F146" s="112">
        <f>F147</f>
        <v>1000</v>
      </c>
      <c r="G146" s="154">
        <f t="shared" si="61"/>
        <v>0</v>
      </c>
      <c r="H146" s="112">
        <f>H147</f>
        <v>1000</v>
      </c>
      <c r="I146" s="134">
        <f t="shared" ref="I146:J147" si="68">I147</f>
        <v>0</v>
      </c>
      <c r="J146" s="112">
        <f t="shared" si="68"/>
        <v>1000</v>
      </c>
      <c r="K146" s="112">
        <f t="shared" si="64"/>
        <v>100</v>
      </c>
    </row>
    <row r="147" spans="1:11">
      <c r="A147" s="119" t="s">
        <v>87</v>
      </c>
      <c r="B147" s="120" t="s">
        <v>76</v>
      </c>
      <c r="C147" s="120" t="s">
        <v>93</v>
      </c>
      <c r="D147" s="120" t="s">
        <v>132</v>
      </c>
      <c r="E147" s="120" t="s">
        <v>88</v>
      </c>
      <c r="F147" s="121">
        <f>F148</f>
        <v>1000</v>
      </c>
      <c r="G147" s="154">
        <f t="shared" si="61"/>
        <v>0</v>
      </c>
      <c r="H147" s="121">
        <f>H148</f>
        <v>1000</v>
      </c>
      <c r="I147" s="135">
        <f t="shared" si="68"/>
        <v>0</v>
      </c>
      <c r="J147" s="121">
        <f t="shared" si="68"/>
        <v>1000</v>
      </c>
      <c r="K147" s="121">
        <f t="shared" si="64"/>
        <v>100</v>
      </c>
    </row>
    <row r="148" spans="1:11">
      <c r="A148" s="119" t="s">
        <v>514</v>
      </c>
      <c r="B148" s="120" t="s">
        <v>76</v>
      </c>
      <c r="C148" s="120" t="s">
        <v>93</v>
      </c>
      <c r="D148" s="120" t="s">
        <v>132</v>
      </c>
      <c r="E148" s="120" t="s">
        <v>89</v>
      </c>
      <c r="F148" s="121">
        <v>1000</v>
      </c>
      <c r="G148" s="154">
        <f t="shared" si="61"/>
        <v>0</v>
      </c>
      <c r="H148" s="121">
        <v>1000</v>
      </c>
      <c r="I148" s="135">
        <v>0</v>
      </c>
      <c r="J148" s="121">
        <v>1000</v>
      </c>
      <c r="K148" s="121">
        <f t="shared" si="64"/>
        <v>100</v>
      </c>
    </row>
    <row r="149" spans="1:11">
      <c r="A149" s="110" t="s">
        <v>319</v>
      </c>
      <c r="B149" s="111" t="s">
        <v>76</v>
      </c>
      <c r="C149" s="111" t="s">
        <v>93</v>
      </c>
      <c r="D149" s="142" t="s">
        <v>344</v>
      </c>
      <c r="E149" s="111"/>
      <c r="F149" s="134">
        <f>F150</f>
        <v>4000</v>
      </c>
      <c r="G149" s="154">
        <f t="shared" si="61"/>
        <v>1313.3230000000003</v>
      </c>
      <c r="H149" s="134">
        <f>H150</f>
        <v>5313.3230000000003</v>
      </c>
      <c r="I149" s="134">
        <f t="shared" ref="I149:J149" si="69">I150</f>
        <v>2729.056</v>
      </c>
      <c r="J149" s="134">
        <f t="shared" si="69"/>
        <v>3987.223</v>
      </c>
      <c r="K149" s="112">
        <f t="shared" si="64"/>
        <v>75.041984084159751</v>
      </c>
    </row>
    <row r="150" spans="1:11">
      <c r="A150" s="119" t="s">
        <v>87</v>
      </c>
      <c r="B150" s="120" t="s">
        <v>76</v>
      </c>
      <c r="C150" s="120" t="s">
        <v>93</v>
      </c>
      <c r="D150" s="130" t="s">
        <v>344</v>
      </c>
      <c r="E150" s="120" t="s">
        <v>88</v>
      </c>
      <c r="F150" s="135">
        <f>F151+F152</f>
        <v>4000</v>
      </c>
      <c r="G150" s="154">
        <f t="shared" si="61"/>
        <v>1313.3230000000003</v>
      </c>
      <c r="H150" s="135">
        <f>H151+H152</f>
        <v>5313.3230000000003</v>
      </c>
      <c r="I150" s="135">
        <f t="shared" ref="I150:J150" si="70">I151+I152</f>
        <v>2729.056</v>
      </c>
      <c r="J150" s="135">
        <f t="shared" si="70"/>
        <v>3987.223</v>
      </c>
      <c r="K150" s="121">
        <f t="shared" si="64"/>
        <v>75.041984084159751</v>
      </c>
    </row>
    <row r="151" spans="1:11">
      <c r="A151" s="119" t="s">
        <v>150</v>
      </c>
      <c r="B151" s="120" t="s">
        <v>76</v>
      </c>
      <c r="C151" s="120" t="s">
        <v>93</v>
      </c>
      <c r="D151" s="130" t="s">
        <v>344</v>
      </c>
      <c r="E151" s="120" t="s">
        <v>154</v>
      </c>
      <c r="F151" s="135">
        <f>1950+950+1000</f>
        <v>3900</v>
      </c>
      <c r="G151" s="154">
        <f t="shared" si="61"/>
        <v>1313.3230000000003</v>
      </c>
      <c r="H151" s="135">
        <f>1950+950+1000-500+8.323+1800+5</f>
        <v>5213.3230000000003</v>
      </c>
      <c r="I151" s="135">
        <v>2729.056</v>
      </c>
      <c r="J151" s="135">
        <f>1950+950+1000-500+8.323+1800+5-222.5-103.6-1000</f>
        <v>3887.223</v>
      </c>
      <c r="K151" s="121">
        <f t="shared" si="64"/>
        <v>74.563248814623606</v>
      </c>
    </row>
    <row r="152" spans="1:11">
      <c r="A152" s="119" t="s">
        <v>514</v>
      </c>
      <c r="B152" s="120" t="s">
        <v>76</v>
      </c>
      <c r="C152" s="120" t="s">
        <v>93</v>
      </c>
      <c r="D152" s="130" t="s">
        <v>344</v>
      </c>
      <c r="E152" s="120" t="s">
        <v>89</v>
      </c>
      <c r="F152" s="135">
        <f>50+50</f>
        <v>100</v>
      </c>
      <c r="G152" s="154">
        <f t="shared" si="61"/>
        <v>0</v>
      </c>
      <c r="H152" s="135">
        <f>50+50</f>
        <v>100</v>
      </c>
      <c r="I152" s="135">
        <v>0</v>
      </c>
      <c r="J152" s="135">
        <f>50+50</f>
        <v>100</v>
      </c>
      <c r="K152" s="121">
        <f t="shared" si="64"/>
        <v>100</v>
      </c>
    </row>
    <row r="153" spans="1:11" ht="24">
      <c r="A153" s="124" t="s">
        <v>308</v>
      </c>
      <c r="B153" s="125" t="s">
        <v>76</v>
      </c>
      <c r="C153" s="125" t="s">
        <v>93</v>
      </c>
      <c r="D153" s="125" t="s">
        <v>677</v>
      </c>
      <c r="E153" s="151"/>
      <c r="F153" s="126">
        <v>1000</v>
      </c>
      <c r="G153" s="154">
        <f t="shared" si="61"/>
        <v>0</v>
      </c>
      <c r="H153" s="126">
        <f>H154</f>
        <v>1000</v>
      </c>
      <c r="I153" s="126">
        <f t="shared" ref="I153:J154" si="71">I154</f>
        <v>351.9</v>
      </c>
      <c r="J153" s="126">
        <f t="shared" si="71"/>
        <v>1000</v>
      </c>
      <c r="K153" s="126">
        <f t="shared" si="64"/>
        <v>100</v>
      </c>
    </row>
    <row r="154" spans="1:11">
      <c r="A154" s="119" t="s">
        <v>301</v>
      </c>
      <c r="B154" s="120" t="s">
        <v>76</v>
      </c>
      <c r="C154" s="120" t="s">
        <v>93</v>
      </c>
      <c r="D154" s="120" t="s">
        <v>677</v>
      </c>
      <c r="E154" s="137">
        <v>200</v>
      </c>
      <c r="F154" s="121">
        <v>1000</v>
      </c>
      <c r="G154" s="154">
        <f t="shared" si="61"/>
        <v>0</v>
      </c>
      <c r="H154" s="121">
        <f>H155</f>
        <v>1000</v>
      </c>
      <c r="I154" s="121">
        <f t="shared" si="71"/>
        <v>351.9</v>
      </c>
      <c r="J154" s="121">
        <f t="shared" si="71"/>
        <v>1000</v>
      </c>
      <c r="K154" s="121">
        <f t="shared" si="64"/>
        <v>100</v>
      </c>
    </row>
    <row r="155" spans="1:11">
      <c r="A155" s="119" t="s">
        <v>85</v>
      </c>
      <c r="B155" s="120" t="s">
        <v>76</v>
      </c>
      <c r="C155" s="120" t="s">
        <v>93</v>
      </c>
      <c r="D155" s="120" t="s">
        <v>677</v>
      </c>
      <c r="E155" s="120" t="s">
        <v>86</v>
      </c>
      <c r="F155" s="121">
        <v>1000</v>
      </c>
      <c r="G155" s="154">
        <f t="shared" si="61"/>
        <v>0</v>
      </c>
      <c r="H155" s="121">
        <v>1000</v>
      </c>
      <c r="I155" s="121">
        <v>351.9</v>
      </c>
      <c r="J155" s="121">
        <v>1000</v>
      </c>
      <c r="K155" s="121">
        <f t="shared" si="64"/>
        <v>100</v>
      </c>
    </row>
    <row r="156" spans="1:11">
      <c r="A156" s="124" t="s">
        <v>34</v>
      </c>
      <c r="B156" s="125" t="s">
        <v>76</v>
      </c>
      <c r="C156" s="125" t="s">
        <v>93</v>
      </c>
      <c r="D156" s="125" t="s">
        <v>214</v>
      </c>
      <c r="E156" s="125"/>
      <c r="F156" s="126">
        <v>2194</v>
      </c>
      <c r="G156" s="154">
        <f t="shared" si="61"/>
        <v>0</v>
      </c>
      <c r="H156" s="126">
        <f>H157</f>
        <v>2194</v>
      </c>
      <c r="I156" s="126">
        <f t="shared" ref="I156:J160" si="72">I157</f>
        <v>1651.8530000000001</v>
      </c>
      <c r="J156" s="126">
        <f t="shared" si="72"/>
        <v>2194</v>
      </c>
      <c r="K156" s="126">
        <f t="shared" si="64"/>
        <v>100</v>
      </c>
    </row>
    <row r="157" spans="1:11">
      <c r="A157" s="110" t="s">
        <v>108</v>
      </c>
      <c r="B157" s="111" t="s">
        <v>76</v>
      </c>
      <c r="C157" s="111" t="s">
        <v>93</v>
      </c>
      <c r="D157" s="111" t="s">
        <v>215</v>
      </c>
      <c r="E157" s="111"/>
      <c r="F157" s="112">
        <v>2194</v>
      </c>
      <c r="G157" s="154">
        <f t="shared" si="61"/>
        <v>0</v>
      </c>
      <c r="H157" s="112">
        <f>H158</f>
        <v>2194</v>
      </c>
      <c r="I157" s="112">
        <f t="shared" si="72"/>
        <v>1651.8530000000001</v>
      </c>
      <c r="J157" s="112">
        <f t="shared" si="72"/>
        <v>2194</v>
      </c>
      <c r="K157" s="112">
        <f t="shared" si="64"/>
        <v>100</v>
      </c>
    </row>
    <row r="158" spans="1:11" ht="24">
      <c r="A158" s="143" t="s">
        <v>27</v>
      </c>
      <c r="B158" s="139" t="s">
        <v>76</v>
      </c>
      <c r="C158" s="139" t="s">
        <v>93</v>
      </c>
      <c r="D158" s="139" t="s">
        <v>231</v>
      </c>
      <c r="E158" s="139"/>
      <c r="F158" s="144">
        <v>2194</v>
      </c>
      <c r="G158" s="154">
        <f t="shared" si="61"/>
        <v>0</v>
      </c>
      <c r="H158" s="144">
        <f>H159</f>
        <v>2194</v>
      </c>
      <c r="I158" s="144">
        <f t="shared" si="72"/>
        <v>1651.8530000000001</v>
      </c>
      <c r="J158" s="144">
        <f t="shared" si="72"/>
        <v>2194</v>
      </c>
      <c r="K158" s="144">
        <f t="shared" si="64"/>
        <v>100</v>
      </c>
    </row>
    <row r="159" spans="1:11">
      <c r="A159" s="127" t="s">
        <v>35</v>
      </c>
      <c r="B159" s="111" t="s">
        <v>76</v>
      </c>
      <c r="C159" s="111" t="s">
        <v>93</v>
      </c>
      <c r="D159" s="111" t="s">
        <v>231</v>
      </c>
      <c r="E159" s="111"/>
      <c r="F159" s="112">
        <v>2194</v>
      </c>
      <c r="G159" s="154">
        <f t="shared" si="61"/>
        <v>0</v>
      </c>
      <c r="H159" s="112">
        <f>H160</f>
        <v>2194</v>
      </c>
      <c r="I159" s="112">
        <f t="shared" si="72"/>
        <v>1651.8530000000001</v>
      </c>
      <c r="J159" s="112">
        <f t="shared" si="72"/>
        <v>2194</v>
      </c>
      <c r="K159" s="112">
        <f t="shared" si="64"/>
        <v>100</v>
      </c>
    </row>
    <row r="160" spans="1:11" ht="36">
      <c r="A160" s="119" t="s">
        <v>79</v>
      </c>
      <c r="B160" s="120" t="s">
        <v>76</v>
      </c>
      <c r="C160" s="120" t="s">
        <v>93</v>
      </c>
      <c r="D160" s="120" t="s">
        <v>231</v>
      </c>
      <c r="E160" s="120" t="s">
        <v>80</v>
      </c>
      <c r="F160" s="121">
        <v>2194</v>
      </c>
      <c r="G160" s="154">
        <f t="shared" si="61"/>
        <v>0</v>
      </c>
      <c r="H160" s="121">
        <f>H161</f>
        <v>2194</v>
      </c>
      <c r="I160" s="121">
        <f t="shared" si="72"/>
        <v>1651.8530000000001</v>
      </c>
      <c r="J160" s="121">
        <f t="shared" si="72"/>
        <v>2194</v>
      </c>
      <c r="K160" s="121">
        <f t="shared" si="64"/>
        <v>100</v>
      </c>
    </row>
    <row r="161" spans="1:11">
      <c r="A161" s="119" t="s">
        <v>81</v>
      </c>
      <c r="B161" s="120" t="s">
        <v>76</v>
      </c>
      <c r="C161" s="120" t="s">
        <v>93</v>
      </c>
      <c r="D161" s="120" t="s">
        <v>231</v>
      </c>
      <c r="E161" s="120" t="s">
        <v>82</v>
      </c>
      <c r="F161" s="121">
        <v>2194</v>
      </c>
      <c r="G161" s="154">
        <f t="shared" si="61"/>
        <v>0</v>
      </c>
      <c r="H161" s="121">
        <v>2194</v>
      </c>
      <c r="I161" s="121">
        <v>1651.8530000000001</v>
      </c>
      <c r="J161" s="121">
        <v>2194</v>
      </c>
      <c r="K161" s="121">
        <f t="shared" si="64"/>
        <v>100</v>
      </c>
    </row>
    <row r="162" spans="1:11">
      <c r="A162" s="110" t="s">
        <v>320</v>
      </c>
      <c r="B162" s="111" t="s">
        <v>483</v>
      </c>
      <c r="C162" s="111" t="s">
        <v>77</v>
      </c>
      <c r="D162" s="111"/>
      <c r="E162" s="111"/>
      <c r="F162" s="112">
        <f>F163</f>
        <v>5000</v>
      </c>
      <c r="G162" s="154">
        <f t="shared" si="61"/>
        <v>0</v>
      </c>
      <c r="H162" s="112">
        <f>H163</f>
        <v>5000</v>
      </c>
      <c r="I162" s="112">
        <f t="shared" ref="I162:J164" si="73">I163</f>
        <v>3096.85</v>
      </c>
      <c r="J162" s="134">
        <f t="shared" si="73"/>
        <v>4000</v>
      </c>
      <c r="K162" s="134">
        <f t="shared" si="64"/>
        <v>80</v>
      </c>
    </row>
    <row r="163" spans="1:11" ht="24">
      <c r="A163" s="110" t="s">
        <v>362</v>
      </c>
      <c r="B163" s="111" t="s">
        <v>483</v>
      </c>
      <c r="C163" s="111" t="s">
        <v>484</v>
      </c>
      <c r="D163" s="111"/>
      <c r="E163" s="111"/>
      <c r="F163" s="112">
        <f>F164</f>
        <v>5000</v>
      </c>
      <c r="G163" s="154">
        <f t="shared" si="61"/>
        <v>0</v>
      </c>
      <c r="H163" s="112">
        <f>H164</f>
        <v>5000</v>
      </c>
      <c r="I163" s="112">
        <f t="shared" si="73"/>
        <v>3096.85</v>
      </c>
      <c r="J163" s="134">
        <f t="shared" si="73"/>
        <v>4000</v>
      </c>
      <c r="K163" s="134">
        <f t="shared" si="64"/>
        <v>80</v>
      </c>
    </row>
    <row r="164" spans="1:11">
      <c r="A164" s="124" t="s">
        <v>455</v>
      </c>
      <c r="B164" s="125" t="s">
        <v>483</v>
      </c>
      <c r="C164" s="125" t="s">
        <v>484</v>
      </c>
      <c r="D164" s="125" t="s">
        <v>214</v>
      </c>
      <c r="E164" s="125"/>
      <c r="F164" s="126">
        <f>F165</f>
        <v>5000</v>
      </c>
      <c r="G164" s="154">
        <f t="shared" si="61"/>
        <v>0</v>
      </c>
      <c r="H164" s="126">
        <f>H165</f>
        <v>5000</v>
      </c>
      <c r="I164" s="126">
        <f t="shared" si="73"/>
        <v>3096.85</v>
      </c>
      <c r="J164" s="136">
        <f t="shared" si="73"/>
        <v>4000</v>
      </c>
      <c r="K164" s="136">
        <f t="shared" si="64"/>
        <v>80</v>
      </c>
    </row>
    <row r="165" spans="1:11">
      <c r="A165" s="110" t="s">
        <v>304</v>
      </c>
      <c r="B165" s="111" t="s">
        <v>483</v>
      </c>
      <c r="C165" s="111" t="s">
        <v>484</v>
      </c>
      <c r="D165" s="111" t="s">
        <v>215</v>
      </c>
      <c r="E165" s="111"/>
      <c r="F165" s="112">
        <f>F169+F166</f>
        <v>5000</v>
      </c>
      <c r="G165" s="154">
        <f t="shared" si="61"/>
        <v>0</v>
      </c>
      <c r="H165" s="112">
        <f>H169+H166</f>
        <v>5000</v>
      </c>
      <c r="I165" s="112">
        <f t="shared" ref="I165:J165" si="74">I169+I166</f>
        <v>3096.85</v>
      </c>
      <c r="J165" s="134">
        <f t="shared" si="74"/>
        <v>4000</v>
      </c>
      <c r="K165" s="134">
        <f t="shared" si="64"/>
        <v>80</v>
      </c>
    </row>
    <row r="166" spans="1:11" ht="24">
      <c r="A166" s="110" t="s">
        <v>127</v>
      </c>
      <c r="B166" s="111" t="s">
        <v>483</v>
      </c>
      <c r="C166" s="111" t="s">
        <v>484</v>
      </c>
      <c r="D166" s="111" t="s">
        <v>215</v>
      </c>
      <c r="E166" s="111"/>
      <c r="F166" s="112">
        <f>F167</f>
        <v>1000</v>
      </c>
      <c r="G166" s="154">
        <f t="shared" si="61"/>
        <v>0</v>
      </c>
      <c r="H166" s="112">
        <f>H167</f>
        <v>1000</v>
      </c>
      <c r="I166" s="134">
        <f t="shared" ref="I166:J167" si="75">I167</f>
        <v>0</v>
      </c>
      <c r="J166" s="134">
        <f t="shared" si="75"/>
        <v>0</v>
      </c>
      <c r="K166" s="134">
        <f t="shared" si="64"/>
        <v>0</v>
      </c>
    </row>
    <row r="167" spans="1:11">
      <c r="A167" s="119" t="s">
        <v>301</v>
      </c>
      <c r="B167" s="120" t="s">
        <v>483</v>
      </c>
      <c r="C167" s="120" t="s">
        <v>484</v>
      </c>
      <c r="D167" s="120" t="s">
        <v>563</v>
      </c>
      <c r="E167" s="120" t="s">
        <v>84</v>
      </c>
      <c r="F167" s="121">
        <f>F168</f>
        <v>1000</v>
      </c>
      <c r="G167" s="154">
        <f t="shared" si="61"/>
        <v>0</v>
      </c>
      <c r="H167" s="121">
        <f>H168</f>
        <v>1000</v>
      </c>
      <c r="I167" s="135">
        <f t="shared" si="75"/>
        <v>0</v>
      </c>
      <c r="J167" s="135">
        <f t="shared" si="75"/>
        <v>0</v>
      </c>
      <c r="K167" s="135">
        <f t="shared" si="64"/>
        <v>0</v>
      </c>
    </row>
    <row r="168" spans="1:11">
      <c r="A168" s="119" t="s">
        <v>85</v>
      </c>
      <c r="B168" s="120" t="s">
        <v>483</v>
      </c>
      <c r="C168" s="120" t="s">
        <v>484</v>
      </c>
      <c r="D168" s="120" t="s">
        <v>563</v>
      </c>
      <c r="E168" s="120" t="s">
        <v>86</v>
      </c>
      <c r="F168" s="121">
        <v>1000</v>
      </c>
      <c r="G168" s="154">
        <f t="shared" si="61"/>
        <v>0</v>
      </c>
      <c r="H168" s="121">
        <v>1000</v>
      </c>
      <c r="I168" s="135">
        <v>0</v>
      </c>
      <c r="J168" s="135">
        <v>0</v>
      </c>
      <c r="K168" s="135">
        <f t="shared" si="64"/>
        <v>0</v>
      </c>
    </row>
    <row r="169" spans="1:11">
      <c r="A169" s="143" t="s">
        <v>485</v>
      </c>
      <c r="B169" s="139" t="s">
        <v>483</v>
      </c>
      <c r="C169" s="139" t="s">
        <v>484</v>
      </c>
      <c r="D169" s="139" t="s">
        <v>215</v>
      </c>
      <c r="E169" s="139"/>
      <c r="F169" s="144">
        <f>F170</f>
        <v>4000</v>
      </c>
      <c r="G169" s="154">
        <f t="shared" si="61"/>
        <v>0</v>
      </c>
      <c r="H169" s="144">
        <f>H170</f>
        <v>4000</v>
      </c>
      <c r="I169" s="144">
        <f t="shared" ref="I169:J169" si="76">I170</f>
        <v>3096.85</v>
      </c>
      <c r="J169" s="144">
        <f t="shared" si="76"/>
        <v>4000</v>
      </c>
      <c r="K169" s="144">
        <f t="shared" si="64"/>
        <v>100</v>
      </c>
    </row>
    <row r="170" spans="1:11">
      <c r="A170" s="110" t="s">
        <v>42</v>
      </c>
      <c r="B170" s="111" t="s">
        <v>483</v>
      </c>
      <c r="C170" s="111" t="s">
        <v>484</v>
      </c>
      <c r="D170" s="111" t="s">
        <v>564</v>
      </c>
      <c r="E170" s="111"/>
      <c r="F170" s="112">
        <f>F171+F173+F175</f>
        <v>4000</v>
      </c>
      <c r="G170" s="154">
        <f t="shared" si="61"/>
        <v>0</v>
      </c>
      <c r="H170" s="112">
        <f>H171+H173+H175</f>
        <v>4000</v>
      </c>
      <c r="I170" s="112">
        <f t="shared" ref="I170:J170" si="77">I171+I173+I175</f>
        <v>3096.85</v>
      </c>
      <c r="J170" s="112">
        <f t="shared" si="77"/>
        <v>4000</v>
      </c>
      <c r="K170" s="112">
        <f t="shared" si="64"/>
        <v>100</v>
      </c>
    </row>
    <row r="171" spans="1:11" ht="36">
      <c r="A171" s="119" t="s">
        <v>79</v>
      </c>
      <c r="B171" s="120" t="s">
        <v>483</v>
      </c>
      <c r="C171" s="120" t="s">
        <v>484</v>
      </c>
      <c r="D171" s="120" t="s">
        <v>564</v>
      </c>
      <c r="E171" s="120" t="s">
        <v>80</v>
      </c>
      <c r="F171" s="121">
        <f>F172</f>
        <v>3514</v>
      </c>
      <c r="G171" s="154">
        <f t="shared" si="61"/>
        <v>0</v>
      </c>
      <c r="H171" s="121">
        <f>H172</f>
        <v>3514</v>
      </c>
      <c r="I171" s="121">
        <f t="shared" ref="I171:J171" si="78">I172</f>
        <v>2918.15</v>
      </c>
      <c r="J171" s="121">
        <f t="shared" si="78"/>
        <v>3514</v>
      </c>
      <c r="K171" s="121">
        <f t="shared" si="64"/>
        <v>100</v>
      </c>
    </row>
    <row r="172" spans="1:11">
      <c r="A172" s="119" t="s">
        <v>486</v>
      </c>
      <c r="B172" s="120" t="s">
        <v>483</v>
      </c>
      <c r="C172" s="120" t="s">
        <v>484</v>
      </c>
      <c r="D172" s="120" t="s">
        <v>564</v>
      </c>
      <c r="E172" s="120" t="s">
        <v>487</v>
      </c>
      <c r="F172" s="121">
        <f>2640+20+7+47+800</f>
        <v>3514</v>
      </c>
      <c r="G172" s="154">
        <f t="shared" si="61"/>
        <v>0</v>
      </c>
      <c r="H172" s="121">
        <f>2640+20+7+47+800</f>
        <v>3514</v>
      </c>
      <c r="I172" s="121">
        <v>2918.15</v>
      </c>
      <c r="J172" s="121">
        <f>2640+20+7+47+800</f>
        <v>3514</v>
      </c>
      <c r="K172" s="121">
        <f t="shared" si="64"/>
        <v>100</v>
      </c>
    </row>
    <row r="173" spans="1:11">
      <c r="A173" s="119" t="s">
        <v>301</v>
      </c>
      <c r="B173" s="120" t="s">
        <v>483</v>
      </c>
      <c r="C173" s="120" t="s">
        <v>484</v>
      </c>
      <c r="D173" s="120" t="s">
        <v>564</v>
      </c>
      <c r="E173" s="120" t="s">
        <v>84</v>
      </c>
      <c r="F173" s="121">
        <f>F174</f>
        <v>475</v>
      </c>
      <c r="G173" s="154">
        <f t="shared" si="61"/>
        <v>0</v>
      </c>
      <c r="H173" s="121">
        <f>H174</f>
        <v>475</v>
      </c>
      <c r="I173" s="121">
        <f t="shared" ref="I173:J173" si="79">I174</f>
        <v>178.7</v>
      </c>
      <c r="J173" s="121">
        <f t="shared" si="79"/>
        <v>475</v>
      </c>
      <c r="K173" s="121">
        <f t="shared" si="64"/>
        <v>100</v>
      </c>
    </row>
    <row r="174" spans="1:11">
      <c r="A174" s="119" t="s">
        <v>85</v>
      </c>
      <c r="B174" s="120" t="s">
        <v>483</v>
      </c>
      <c r="C174" s="120" t="s">
        <v>484</v>
      </c>
      <c r="D174" s="120" t="s">
        <v>564</v>
      </c>
      <c r="E174" s="120" t="s">
        <v>86</v>
      </c>
      <c r="F174" s="121">
        <f>175+185+70+45</f>
        <v>475</v>
      </c>
      <c r="G174" s="154">
        <f t="shared" si="61"/>
        <v>0</v>
      </c>
      <c r="H174" s="121">
        <f>175+185+70+45</f>
        <v>475</v>
      </c>
      <c r="I174" s="121">
        <v>178.7</v>
      </c>
      <c r="J174" s="121">
        <f>175+185+70+45</f>
        <v>475</v>
      </c>
      <c r="K174" s="121">
        <f t="shared" si="64"/>
        <v>100</v>
      </c>
    </row>
    <row r="175" spans="1:11">
      <c r="A175" s="119" t="s">
        <v>87</v>
      </c>
      <c r="B175" s="120" t="s">
        <v>483</v>
      </c>
      <c r="C175" s="120" t="s">
        <v>484</v>
      </c>
      <c r="D175" s="120" t="s">
        <v>564</v>
      </c>
      <c r="E175" s="120" t="s">
        <v>88</v>
      </c>
      <c r="F175" s="121">
        <f>F176</f>
        <v>11</v>
      </c>
      <c r="G175" s="154">
        <f t="shared" si="61"/>
        <v>0</v>
      </c>
      <c r="H175" s="121">
        <f>H176</f>
        <v>11</v>
      </c>
      <c r="I175" s="229">
        <f t="shared" ref="I175:J175" si="80">I176</f>
        <v>0</v>
      </c>
      <c r="J175" s="121">
        <f t="shared" si="80"/>
        <v>11</v>
      </c>
      <c r="K175" s="121">
        <f t="shared" si="64"/>
        <v>100</v>
      </c>
    </row>
    <row r="176" spans="1:11">
      <c r="A176" s="119" t="s">
        <v>155</v>
      </c>
      <c r="B176" s="120" t="s">
        <v>483</v>
      </c>
      <c r="C176" s="120" t="s">
        <v>484</v>
      </c>
      <c r="D176" s="120" t="s">
        <v>564</v>
      </c>
      <c r="E176" s="120" t="s">
        <v>89</v>
      </c>
      <c r="F176" s="121">
        <v>11</v>
      </c>
      <c r="G176" s="154">
        <f t="shared" si="61"/>
        <v>0</v>
      </c>
      <c r="H176" s="121">
        <v>11</v>
      </c>
      <c r="I176" s="229">
        <v>0</v>
      </c>
      <c r="J176" s="121">
        <v>11</v>
      </c>
      <c r="K176" s="121">
        <f t="shared" si="64"/>
        <v>100</v>
      </c>
    </row>
    <row r="177" spans="1:11" s="43" customFormat="1">
      <c r="A177" s="110" t="s">
        <v>363</v>
      </c>
      <c r="B177" s="111" t="s">
        <v>78</v>
      </c>
      <c r="C177" s="111" t="s">
        <v>77</v>
      </c>
      <c r="D177" s="111"/>
      <c r="E177" s="111"/>
      <c r="F177" s="112" t="e">
        <f>F182+F191+F206+F253</f>
        <v>#REF!</v>
      </c>
      <c r="G177" s="154" t="e">
        <f t="shared" si="61"/>
        <v>#REF!</v>
      </c>
      <c r="H177" s="112">
        <f>H182+H191+H206+H253+H178</f>
        <v>1054904.0801899999</v>
      </c>
      <c r="I177" s="112">
        <f t="shared" ref="I177:J177" si="81">I182+I191+I206+I253+I178</f>
        <v>725294.03300000017</v>
      </c>
      <c r="J177" s="112">
        <f t="shared" si="81"/>
        <v>1050451.1851899999</v>
      </c>
      <c r="K177" s="112">
        <f t="shared" si="64"/>
        <v>99.577886266285176</v>
      </c>
    </row>
    <row r="178" spans="1:11" s="43" customFormat="1">
      <c r="A178" s="69" t="s">
        <v>746</v>
      </c>
      <c r="B178" s="21" t="s">
        <v>78</v>
      </c>
      <c r="C178" s="21" t="s">
        <v>76</v>
      </c>
      <c r="D178" s="21"/>
      <c r="E178" s="21"/>
      <c r="F178" s="112"/>
      <c r="G178" s="154"/>
      <c r="H178" s="112">
        <f>H179</f>
        <v>836.02099999999996</v>
      </c>
      <c r="I178" s="112">
        <f t="shared" ref="I178:J180" si="82">I179</f>
        <v>819.83699999999999</v>
      </c>
      <c r="J178" s="112">
        <f t="shared" si="82"/>
        <v>836.02099999999996</v>
      </c>
      <c r="K178" s="112">
        <f t="shared" si="64"/>
        <v>100</v>
      </c>
    </row>
    <row r="179" spans="1:11" s="43" customFormat="1" ht="24">
      <c r="A179" s="69" t="s">
        <v>747</v>
      </c>
      <c r="B179" s="21" t="s">
        <v>78</v>
      </c>
      <c r="C179" s="21" t="s">
        <v>76</v>
      </c>
      <c r="D179" s="21" t="s">
        <v>748</v>
      </c>
      <c r="E179" s="21"/>
      <c r="F179" s="112"/>
      <c r="G179" s="154"/>
      <c r="H179" s="112">
        <f>H180</f>
        <v>836.02099999999996</v>
      </c>
      <c r="I179" s="112">
        <f t="shared" si="82"/>
        <v>819.83699999999999</v>
      </c>
      <c r="J179" s="112">
        <f t="shared" si="82"/>
        <v>836.02099999999996</v>
      </c>
      <c r="K179" s="112">
        <f t="shared" si="64"/>
        <v>100</v>
      </c>
    </row>
    <row r="180" spans="1:11" s="43" customFormat="1" ht="36">
      <c r="A180" s="72" t="s">
        <v>79</v>
      </c>
      <c r="B180" s="28" t="s">
        <v>78</v>
      </c>
      <c r="C180" s="28" t="s">
        <v>76</v>
      </c>
      <c r="D180" s="28" t="s">
        <v>748</v>
      </c>
      <c r="E180" s="28" t="s">
        <v>80</v>
      </c>
      <c r="F180" s="112"/>
      <c r="G180" s="154"/>
      <c r="H180" s="121">
        <f>H181</f>
        <v>836.02099999999996</v>
      </c>
      <c r="I180" s="121">
        <f t="shared" si="82"/>
        <v>819.83699999999999</v>
      </c>
      <c r="J180" s="121">
        <f t="shared" si="82"/>
        <v>836.02099999999996</v>
      </c>
      <c r="K180" s="121">
        <f t="shared" si="64"/>
        <v>100</v>
      </c>
    </row>
    <row r="181" spans="1:11" s="43" customFormat="1">
      <c r="A181" s="72" t="s">
        <v>81</v>
      </c>
      <c r="B181" s="28" t="s">
        <v>78</v>
      </c>
      <c r="C181" s="28" t="s">
        <v>76</v>
      </c>
      <c r="D181" s="28" t="s">
        <v>748</v>
      </c>
      <c r="E181" s="28" t="s">
        <v>82</v>
      </c>
      <c r="F181" s="112"/>
      <c r="G181" s="154"/>
      <c r="H181" s="121">
        <v>836.02099999999996</v>
      </c>
      <c r="I181" s="121">
        <v>819.83699999999999</v>
      </c>
      <c r="J181" s="121">
        <v>836.02099999999996</v>
      </c>
      <c r="K181" s="121">
        <f t="shared" si="64"/>
        <v>100</v>
      </c>
    </row>
    <row r="182" spans="1:11" s="43" customFormat="1">
      <c r="A182" s="110" t="s">
        <v>373</v>
      </c>
      <c r="B182" s="111" t="s">
        <v>78</v>
      </c>
      <c r="C182" s="111" t="s">
        <v>490</v>
      </c>
      <c r="D182" s="111"/>
      <c r="E182" s="111"/>
      <c r="F182" s="112">
        <f>F183</f>
        <v>6509</v>
      </c>
      <c r="G182" s="154">
        <f t="shared" si="61"/>
        <v>143.69999999999982</v>
      </c>
      <c r="H182" s="112">
        <f>H183</f>
        <v>6652.7</v>
      </c>
      <c r="I182" s="112">
        <f t="shared" ref="I182:J183" si="83">I183</f>
        <v>5034.6679999999997</v>
      </c>
      <c r="J182" s="112">
        <f t="shared" si="83"/>
        <v>6652.7</v>
      </c>
      <c r="K182" s="112">
        <f t="shared" si="64"/>
        <v>100</v>
      </c>
    </row>
    <row r="183" spans="1:11" s="43" customFormat="1" ht="27">
      <c r="A183" s="123" t="s">
        <v>619</v>
      </c>
      <c r="B183" s="114" t="s">
        <v>78</v>
      </c>
      <c r="C183" s="114" t="s">
        <v>490</v>
      </c>
      <c r="D183" s="149" t="s">
        <v>254</v>
      </c>
      <c r="E183" s="114"/>
      <c r="F183" s="115">
        <f>F184</f>
        <v>6509</v>
      </c>
      <c r="G183" s="154">
        <f t="shared" si="61"/>
        <v>143.69999999999982</v>
      </c>
      <c r="H183" s="115">
        <f>H184</f>
        <v>6652.7</v>
      </c>
      <c r="I183" s="115">
        <f t="shared" si="83"/>
        <v>5034.6679999999997</v>
      </c>
      <c r="J183" s="115">
        <f t="shared" si="83"/>
        <v>6652.7</v>
      </c>
      <c r="K183" s="126">
        <f t="shared" si="64"/>
        <v>100</v>
      </c>
    </row>
    <row r="184" spans="1:11" s="43" customFormat="1">
      <c r="A184" s="110" t="s">
        <v>259</v>
      </c>
      <c r="B184" s="111" t="s">
        <v>78</v>
      </c>
      <c r="C184" s="111" t="s">
        <v>490</v>
      </c>
      <c r="D184" s="111" t="s">
        <v>620</v>
      </c>
      <c r="E184" s="111"/>
      <c r="F184" s="112">
        <f>F185+F187+F189</f>
        <v>6509</v>
      </c>
      <c r="G184" s="154">
        <f t="shared" si="61"/>
        <v>143.69999999999982</v>
      </c>
      <c r="H184" s="112">
        <f>H185+H187+H189</f>
        <v>6652.7</v>
      </c>
      <c r="I184" s="112">
        <f t="shared" ref="I184:J184" si="84">I185+I187+I189</f>
        <v>5034.6679999999997</v>
      </c>
      <c r="J184" s="112">
        <f t="shared" si="84"/>
        <v>6652.7</v>
      </c>
      <c r="K184" s="112">
        <f t="shared" si="64"/>
        <v>100</v>
      </c>
    </row>
    <row r="185" spans="1:11" s="43" customFormat="1" ht="36">
      <c r="A185" s="119" t="s">
        <v>79</v>
      </c>
      <c r="B185" s="120" t="s">
        <v>78</v>
      </c>
      <c r="C185" s="120" t="s">
        <v>490</v>
      </c>
      <c r="D185" s="120" t="s">
        <v>620</v>
      </c>
      <c r="E185" s="120" t="s">
        <v>80</v>
      </c>
      <c r="F185" s="121">
        <f>F186</f>
        <v>5700</v>
      </c>
      <c r="G185" s="154">
        <f t="shared" si="61"/>
        <v>0.72544999999990978</v>
      </c>
      <c r="H185" s="121">
        <f>H186</f>
        <v>5700.7254499999999</v>
      </c>
      <c r="I185" s="121">
        <f t="shared" ref="I185:J185" si="85">I186</f>
        <v>4563.3239999999996</v>
      </c>
      <c r="J185" s="121">
        <f t="shared" si="85"/>
        <v>5700.7254499999999</v>
      </c>
      <c r="K185" s="121">
        <f t="shared" si="64"/>
        <v>100</v>
      </c>
    </row>
    <row r="186" spans="1:11" s="43" customFormat="1">
      <c r="A186" s="119" t="s">
        <v>486</v>
      </c>
      <c r="B186" s="120" t="s">
        <v>78</v>
      </c>
      <c r="C186" s="120" t="s">
        <v>490</v>
      </c>
      <c r="D186" s="120" t="s">
        <v>620</v>
      </c>
      <c r="E186" s="120" t="s">
        <v>487</v>
      </c>
      <c r="F186" s="121">
        <f>4380+1320</f>
        <v>5700</v>
      </c>
      <c r="G186" s="154">
        <f t="shared" si="61"/>
        <v>0.72544999999990978</v>
      </c>
      <c r="H186" s="121">
        <f>4380+1320+0.72545</f>
        <v>5700.7254499999999</v>
      </c>
      <c r="I186" s="121">
        <v>4563.3239999999996</v>
      </c>
      <c r="J186" s="121">
        <f>4380+1320+0.72545</f>
        <v>5700.7254499999999</v>
      </c>
      <c r="K186" s="121">
        <f t="shared" si="64"/>
        <v>100</v>
      </c>
    </row>
    <row r="187" spans="1:11" s="43" customFormat="1">
      <c r="A187" s="119" t="s">
        <v>301</v>
      </c>
      <c r="B187" s="120" t="s">
        <v>78</v>
      </c>
      <c r="C187" s="120" t="s">
        <v>490</v>
      </c>
      <c r="D187" s="120" t="s">
        <v>620</v>
      </c>
      <c r="E187" s="120" t="s">
        <v>84</v>
      </c>
      <c r="F187" s="121">
        <f>F188</f>
        <v>784</v>
      </c>
      <c r="G187" s="154">
        <f t="shared" si="61"/>
        <v>126.29854999999998</v>
      </c>
      <c r="H187" s="121">
        <f>H188</f>
        <v>910.29854999999998</v>
      </c>
      <c r="I187" s="121">
        <f t="shared" ref="I187:J187" si="86">I188</f>
        <v>433.49</v>
      </c>
      <c r="J187" s="121">
        <f t="shared" si="86"/>
        <v>910.29854999999998</v>
      </c>
      <c r="K187" s="121">
        <f t="shared" si="64"/>
        <v>100</v>
      </c>
    </row>
    <row r="188" spans="1:11" s="43" customFormat="1">
      <c r="A188" s="119" t="s">
        <v>85</v>
      </c>
      <c r="B188" s="120" t="s">
        <v>78</v>
      </c>
      <c r="C188" s="120" t="s">
        <v>490</v>
      </c>
      <c r="D188" s="120" t="s">
        <v>620</v>
      </c>
      <c r="E188" s="120" t="s">
        <v>86</v>
      </c>
      <c r="F188" s="121">
        <f>24.2+75+53.4+198.4+433</f>
        <v>784</v>
      </c>
      <c r="G188" s="154">
        <f t="shared" si="61"/>
        <v>126.29854999999998</v>
      </c>
      <c r="H188" s="121">
        <f>24.2+75+53.4+198.4+433-0.72545-16.676+143.7</f>
        <v>910.29854999999998</v>
      </c>
      <c r="I188" s="121">
        <v>433.49</v>
      </c>
      <c r="J188" s="121">
        <f>24.2+75+53.4+198.4+433-0.72545-16.676+143.7</f>
        <v>910.29854999999998</v>
      </c>
      <c r="K188" s="121">
        <f t="shared" si="64"/>
        <v>100</v>
      </c>
    </row>
    <row r="189" spans="1:11" s="43" customFormat="1">
      <c r="A189" s="119" t="s">
        <v>87</v>
      </c>
      <c r="B189" s="120" t="s">
        <v>78</v>
      </c>
      <c r="C189" s="120" t="s">
        <v>490</v>
      </c>
      <c r="D189" s="120" t="s">
        <v>620</v>
      </c>
      <c r="E189" s="120" t="s">
        <v>88</v>
      </c>
      <c r="F189" s="121">
        <f>F190</f>
        <v>25</v>
      </c>
      <c r="G189" s="154">
        <f t="shared" si="61"/>
        <v>16.676000000000002</v>
      </c>
      <c r="H189" s="121">
        <f>H190</f>
        <v>41.676000000000002</v>
      </c>
      <c r="I189" s="121">
        <f t="shared" ref="I189:J189" si="87">I190</f>
        <v>37.853999999999999</v>
      </c>
      <c r="J189" s="121">
        <f t="shared" si="87"/>
        <v>41.676000000000002</v>
      </c>
      <c r="K189" s="121">
        <f t="shared" si="64"/>
        <v>100</v>
      </c>
    </row>
    <row r="190" spans="1:11" s="43" customFormat="1">
      <c r="A190" s="119" t="s">
        <v>155</v>
      </c>
      <c r="B190" s="120" t="s">
        <v>78</v>
      </c>
      <c r="C190" s="120" t="s">
        <v>490</v>
      </c>
      <c r="D190" s="120" t="s">
        <v>620</v>
      </c>
      <c r="E190" s="120" t="s">
        <v>89</v>
      </c>
      <c r="F190" s="121">
        <v>25</v>
      </c>
      <c r="G190" s="154">
        <f t="shared" si="61"/>
        <v>16.676000000000002</v>
      </c>
      <c r="H190" s="121">
        <f>25+16.676</f>
        <v>41.676000000000002</v>
      </c>
      <c r="I190" s="121">
        <v>37.853999999999999</v>
      </c>
      <c r="J190" s="121">
        <f>25+16.676</f>
        <v>41.676000000000002</v>
      </c>
      <c r="K190" s="121">
        <f t="shared" si="64"/>
        <v>100</v>
      </c>
    </row>
    <row r="191" spans="1:11">
      <c r="A191" s="110" t="s">
        <v>374</v>
      </c>
      <c r="B191" s="111" t="s">
        <v>78</v>
      </c>
      <c r="C191" s="111" t="s">
        <v>488</v>
      </c>
      <c r="D191" s="111"/>
      <c r="E191" s="111"/>
      <c r="F191" s="112">
        <f>F192</f>
        <v>68533</v>
      </c>
      <c r="G191" s="154">
        <f t="shared" si="61"/>
        <v>0</v>
      </c>
      <c r="H191" s="112">
        <f>H192</f>
        <v>68533</v>
      </c>
      <c r="I191" s="112">
        <f t="shared" ref="I191:J191" si="88">I192</f>
        <v>58350.142999999996</v>
      </c>
      <c r="J191" s="112">
        <f t="shared" si="88"/>
        <v>66283</v>
      </c>
      <c r="K191" s="112">
        <f t="shared" si="64"/>
        <v>96.716910101702823</v>
      </c>
    </row>
    <row r="192" spans="1:11" ht="27">
      <c r="A192" s="123" t="s">
        <v>590</v>
      </c>
      <c r="B192" s="114" t="s">
        <v>78</v>
      </c>
      <c r="C192" s="114" t="s">
        <v>488</v>
      </c>
      <c r="D192" s="114" t="s">
        <v>236</v>
      </c>
      <c r="E192" s="114"/>
      <c r="F192" s="115">
        <f>F193+F202</f>
        <v>68533</v>
      </c>
      <c r="G192" s="154">
        <f t="shared" si="61"/>
        <v>0</v>
      </c>
      <c r="H192" s="115">
        <f>H193+H202</f>
        <v>68533</v>
      </c>
      <c r="I192" s="115">
        <f t="shared" ref="I192:J192" si="89">I193+I202</f>
        <v>58350.142999999996</v>
      </c>
      <c r="J192" s="115">
        <f t="shared" si="89"/>
        <v>66283</v>
      </c>
      <c r="K192" s="115">
        <f t="shared" si="64"/>
        <v>96.716910101702823</v>
      </c>
    </row>
    <row r="193" spans="1:11" ht="24">
      <c r="A193" s="124" t="s">
        <v>99</v>
      </c>
      <c r="B193" s="125" t="s">
        <v>78</v>
      </c>
      <c r="C193" s="125" t="s">
        <v>488</v>
      </c>
      <c r="D193" s="125" t="s">
        <v>237</v>
      </c>
      <c r="E193" s="125"/>
      <c r="F193" s="126">
        <f>F194+F197</f>
        <v>5533</v>
      </c>
      <c r="G193" s="154">
        <f t="shared" si="61"/>
        <v>0</v>
      </c>
      <c r="H193" s="126">
        <f>H194+H197</f>
        <v>5533</v>
      </c>
      <c r="I193" s="126">
        <f t="shared" ref="I193:J193" si="90">I194+I197</f>
        <v>3850.143</v>
      </c>
      <c r="J193" s="126">
        <f t="shared" si="90"/>
        <v>5533</v>
      </c>
      <c r="K193" s="126">
        <f t="shared" si="64"/>
        <v>100</v>
      </c>
    </row>
    <row r="194" spans="1:11">
      <c r="A194" s="127" t="s">
        <v>303</v>
      </c>
      <c r="B194" s="111" t="s">
        <v>78</v>
      </c>
      <c r="C194" s="111" t="s">
        <v>488</v>
      </c>
      <c r="D194" s="111" t="s">
        <v>330</v>
      </c>
      <c r="E194" s="111"/>
      <c r="F194" s="112">
        <f>F195</f>
        <v>5270</v>
      </c>
      <c r="G194" s="154">
        <f t="shared" si="61"/>
        <v>0</v>
      </c>
      <c r="H194" s="112">
        <f>H195</f>
        <v>5270</v>
      </c>
      <c r="I194" s="112">
        <f t="shared" ref="I194:J195" si="91">I195</f>
        <v>3742.5810000000001</v>
      </c>
      <c r="J194" s="112">
        <f t="shared" si="91"/>
        <v>5270</v>
      </c>
      <c r="K194" s="112">
        <f t="shared" si="64"/>
        <v>100</v>
      </c>
    </row>
    <row r="195" spans="1:11" ht="36">
      <c r="A195" s="119" t="s">
        <v>79</v>
      </c>
      <c r="B195" s="120" t="s">
        <v>78</v>
      </c>
      <c r="C195" s="120" t="s">
        <v>488</v>
      </c>
      <c r="D195" s="120" t="s">
        <v>330</v>
      </c>
      <c r="E195" s="120" t="s">
        <v>80</v>
      </c>
      <c r="F195" s="121">
        <f>F196</f>
        <v>5270</v>
      </c>
      <c r="G195" s="154">
        <f t="shared" si="61"/>
        <v>0</v>
      </c>
      <c r="H195" s="121">
        <f>H196</f>
        <v>5270</v>
      </c>
      <c r="I195" s="121">
        <f t="shared" si="91"/>
        <v>3742.5810000000001</v>
      </c>
      <c r="J195" s="121">
        <f t="shared" si="91"/>
        <v>5270</v>
      </c>
      <c r="K195" s="121">
        <f t="shared" si="64"/>
        <v>100</v>
      </c>
    </row>
    <row r="196" spans="1:11">
      <c r="A196" s="119" t="s">
        <v>81</v>
      </c>
      <c r="B196" s="120" t="s">
        <v>78</v>
      </c>
      <c r="C196" s="120" t="s">
        <v>488</v>
      </c>
      <c r="D196" s="120" t="s">
        <v>330</v>
      </c>
      <c r="E196" s="120" t="s">
        <v>82</v>
      </c>
      <c r="F196" s="121">
        <f>4050+1220</f>
        <v>5270</v>
      </c>
      <c r="G196" s="154">
        <f t="shared" si="61"/>
        <v>0</v>
      </c>
      <c r="H196" s="121">
        <f>4050+1220</f>
        <v>5270</v>
      </c>
      <c r="I196" s="121">
        <v>3742.5810000000001</v>
      </c>
      <c r="J196" s="121">
        <f>4050+1220</f>
        <v>5270</v>
      </c>
      <c r="K196" s="121">
        <f t="shared" si="64"/>
        <v>100</v>
      </c>
    </row>
    <row r="197" spans="1:11">
      <c r="A197" s="110" t="s">
        <v>83</v>
      </c>
      <c r="B197" s="111" t="s">
        <v>78</v>
      </c>
      <c r="C197" s="111" t="s">
        <v>488</v>
      </c>
      <c r="D197" s="111" t="s">
        <v>331</v>
      </c>
      <c r="E197" s="111"/>
      <c r="F197" s="112">
        <f>F198+F200</f>
        <v>263</v>
      </c>
      <c r="G197" s="154">
        <f t="shared" si="61"/>
        <v>0</v>
      </c>
      <c r="H197" s="112">
        <f>H198+H200</f>
        <v>263</v>
      </c>
      <c r="I197" s="112">
        <f t="shared" ref="I197:J197" si="92">I198+I200</f>
        <v>107.562</v>
      </c>
      <c r="J197" s="112">
        <f t="shared" si="92"/>
        <v>263</v>
      </c>
      <c r="K197" s="112">
        <f t="shared" si="64"/>
        <v>100</v>
      </c>
    </row>
    <row r="198" spans="1:11">
      <c r="A198" s="119" t="s">
        <v>596</v>
      </c>
      <c r="B198" s="120" t="s">
        <v>78</v>
      </c>
      <c r="C198" s="120" t="s">
        <v>488</v>
      </c>
      <c r="D198" s="120" t="s">
        <v>331</v>
      </c>
      <c r="E198" s="120" t="s">
        <v>84</v>
      </c>
      <c r="F198" s="121">
        <f>F199</f>
        <v>260</v>
      </c>
      <c r="G198" s="154">
        <f t="shared" si="61"/>
        <v>0</v>
      </c>
      <c r="H198" s="121">
        <f>H199</f>
        <v>260</v>
      </c>
      <c r="I198" s="121">
        <f t="shared" ref="I198:J198" si="93">I199</f>
        <v>104.857</v>
      </c>
      <c r="J198" s="121">
        <f t="shared" si="93"/>
        <v>260</v>
      </c>
      <c r="K198" s="121">
        <f t="shared" si="64"/>
        <v>100</v>
      </c>
    </row>
    <row r="199" spans="1:11">
      <c r="A199" s="119" t="s">
        <v>85</v>
      </c>
      <c r="B199" s="120" t="s">
        <v>78</v>
      </c>
      <c r="C199" s="120" t="s">
        <v>488</v>
      </c>
      <c r="D199" s="120" t="s">
        <v>331</v>
      </c>
      <c r="E199" s="120" t="s">
        <v>86</v>
      </c>
      <c r="F199" s="121">
        <v>260</v>
      </c>
      <c r="G199" s="154">
        <f t="shared" si="61"/>
        <v>0</v>
      </c>
      <c r="H199" s="121">
        <v>260</v>
      </c>
      <c r="I199" s="121">
        <v>104.857</v>
      </c>
      <c r="J199" s="121">
        <v>260</v>
      </c>
      <c r="K199" s="121">
        <f t="shared" si="64"/>
        <v>100</v>
      </c>
    </row>
    <row r="200" spans="1:11">
      <c r="A200" s="119" t="s">
        <v>87</v>
      </c>
      <c r="B200" s="120" t="s">
        <v>78</v>
      </c>
      <c r="C200" s="120" t="s">
        <v>488</v>
      </c>
      <c r="D200" s="120" t="s">
        <v>331</v>
      </c>
      <c r="E200" s="120" t="s">
        <v>88</v>
      </c>
      <c r="F200" s="121">
        <f>F201</f>
        <v>3</v>
      </c>
      <c r="G200" s="154">
        <f t="shared" si="61"/>
        <v>0</v>
      </c>
      <c r="H200" s="121">
        <f>H201</f>
        <v>3</v>
      </c>
      <c r="I200" s="121">
        <f t="shared" ref="I200:J200" si="94">I201</f>
        <v>2.7050000000000001</v>
      </c>
      <c r="J200" s="121">
        <f t="shared" si="94"/>
        <v>3</v>
      </c>
      <c r="K200" s="121">
        <f t="shared" si="64"/>
        <v>100</v>
      </c>
    </row>
    <row r="201" spans="1:11">
      <c r="A201" s="119" t="s">
        <v>155</v>
      </c>
      <c r="B201" s="120" t="s">
        <v>78</v>
      </c>
      <c r="C201" s="120" t="s">
        <v>488</v>
      </c>
      <c r="D201" s="120" t="s">
        <v>331</v>
      </c>
      <c r="E201" s="120" t="s">
        <v>89</v>
      </c>
      <c r="F201" s="121">
        <v>3</v>
      </c>
      <c r="G201" s="154">
        <f t="shared" ref="G201:G268" si="95">H201-F201</f>
        <v>0</v>
      </c>
      <c r="H201" s="121">
        <v>3</v>
      </c>
      <c r="I201" s="121">
        <v>2.7050000000000001</v>
      </c>
      <c r="J201" s="121">
        <v>3</v>
      </c>
      <c r="K201" s="121">
        <f t="shared" ref="K201:K264" si="96">J201/H201*100</f>
        <v>100</v>
      </c>
    </row>
    <row r="202" spans="1:11">
      <c r="A202" s="128" t="s">
        <v>332</v>
      </c>
      <c r="B202" s="125" t="s">
        <v>78</v>
      </c>
      <c r="C202" s="125" t="s">
        <v>488</v>
      </c>
      <c r="D202" s="129" t="s">
        <v>333</v>
      </c>
      <c r="E202" s="125"/>
      <c r="F202" s="126">
        <f>F203</f>
        <v>63000</v>
      </c>
      <c r="G202" s="154">
        <f t="shared" si="95"/>
        <v>0</v>
      </c>
      <c r="H202" s="126">
        <f>H203</f>
        <v>63000</v>
      </c>
      <c r="I202" s="126">
        <f t="shared" ref="I202:J204" si="97">I203</f>
        <v>54500</v>
      </c>
      <c r="J202" s="126">
        <f t="shared" si="97"/>
        <v>60750</v>
      </c>
      <c r="K202" s="126">
        <f t="shared" si="96"/>
        <v>96.428571428571431</v>
      </c>
    </row>
    <row r="203" spans="1:11" ht="24">
      <c r="A203" s="128" t="s">
        <v>591</v>
      </c>
      <c r="B203" s="125" t="s">
        <v>78</v>
      </c>
      <c r="C203" s="125" t="s">
        <v>488</v>
      </c>
      <c r="D203" s="129" t="s">
        <v>592</v>
      </c>
      <c r="E203" s="125"/>
      <c r="F203" s="126">
        <f>F204</f>
        <v>63000</v>
      </c>
      <c r="G203" s="154">
        <f t="shared" si="95"/>
        <v>0</v>
      </c>
      <c r="H203" s="126">
        <f>H204</f>
        <v>63000</v>
      </c>
      <c r="I203" s="126">
        <f t="shared" si="97"/>
        <v>54500</v>
      </c>
      <c r="J203" s="126">
        <f t="shared" si="97"/>
        <v>60750</v>
      </c>
      <c r="K203" s="126">
        <f t="shared" si="96"/>
        <v>96.428571428571431</v>
      </c>
    </row>
    <row r="204" spans="1:11">
      <c r="A204" s="119" t="s">
        <v>87</v>
      </c>
      <c r="B204" s="120" t="s">
        <v>78</v>
      </c>
      <c r="C204" s="120" t="s">
        <v>488</v>
      </c>
      <c r="D204" s="130" t="s">
        <v>592</v>
      </c>
      <c r="E204" s="120" t="s">
        <v>88</v>
      </c>
      <c r="F204" s="121">
        <f>F205</f>
        <v>63000</v>
      </c>
      <c r="G204" s="154">
        <f t="shared" si="95"/>
        <v>0</v>
      </c>
      <c r="H204" s="121">
        <f>H205</f>
        <v>63000</v>
      </c>
      <c r="I204" s="121">
        <f t="shared" si="97"/>
        <v>54500</v>
      </c>
      <c r="J204" s="121">
        <f t="shared" si="97"/>
        <v>60750</v>
      </c>
      <c r="K204" s="121">
        <f t="shared" si="96"/>
        <v>96.428571428571431</v>
      </c>
    </row>
    <row r="205" spans="1:11" ht="24">
      <c r="A205" s="119" t="s">
        <v>593</v>
      </c>
      <c r="B205" s="120" t="s">
        <v>78</v>
      </c>
      <c r="C205" s="120" t="s">
        <v>488</v>
      </c>
      <c r="D205" s="130" t="s">
        <v>592</v>
      </c>
      <c r="E205" s="120" t="s">
        <v>430</v>
      </c>
      <c r="F205" s="121">
        <v>63000</v>
      </c>
      <c r="G205" s="154">
        <f t="shared" si="95"/>
        <v>0</v>
      </c>
      <c r="H205" s="121">
        <v>63000</v>
      </c>
      <c r="I205" s="121">
        <v>54500</v>
      </c>
      <c r="J205" s="121">
        <f>63000-2250</f>
        <v>60750</v>
      </c>
      <c r="K205" s="121">
        <f t="shared" si="96"/>
        <v>96.428571428571431</v>
      </c>
    </row>
    <row r="206" spans="1:11">
      <c r="A206" s="110" t="s">
        <v>397</v>
      </c>
      <c r="B206" s="111" t="s">
        <v>78</v>
      </c>
      <c r="C206" s="111" t="s">
        <v>484</v>
      </c>
      <c r="D206" s="130"/>
      <c r="E206" s="120"/>
      <c r="F206" s="112" t="e">
        <f>F207</f>
        <v>#REF!</v>
      </c>
      <c r="G206" s="154" t="e">
        <f t="shared" si="95"/>
        <v>#REF!</v>
      </c>
      <c r="H206" s="112">
        <f>H207</f>
        <v>964894.35918999999</v>
      </c>
      <c r="I206" s="112">
        <f t="shared" ref="I206:J206" si="98">I207</f>
        <v>655979.55700000015</v>
      </c>
      <c r="J206" s="112">
        <f t="shared" si="98"/>
        <v>962789.46419000009</v>
      </c>
      <c r="K206" s="112">
        <f t="shared" si="96"/>
        <v>99.781852284661824</v>
      </c>
    </row>
    <row r="207" spans="1:11" ht="27">
      <c r="A207" s="123" t="s">
        <v>590</v>
      </c>
      <c r="B207" s="114" t="s">
        <v>78</v>
      </c>
      <c r="C207" s="114" t="s">
        <v>484</v>
      </c>
      <c r="D207" s="114" t="s">
        <v>236</v>
      </c>
      <c r="E207" s="114"/>
      <c r="F207" s="115" t="e">
        <f>F212+F241</f>
        <v>#REF!</v>
      </c>
      <c r="G207" s="154" t="e">
        <f t="shared" si="95"/>
        <v>#REF!</v>
      </c>
      <c r="H207" s="115">
        <f>H212+H241+H208</f>
        <v>964894.35918999999</v>
      </c>
      <c r="I207" s="115">
        <f t="shared" ref="I207:J207" si="99">I212+I241+I208</f>
        <v>655979.55700000015</v>
      </c>
      <c r="J207" s="115">
        <f t="shared" si="99"/>
        <v>962789.46419000009</v>
      </c>
      <c r="K207" s="126">
        <f t="shared" si="96"/>
        <v>99.781852284661824</v>
      </c>
    </row>
    <row r="208" spans="1:11" ht="24">
      <c r="A208" s="222" t="s">
        <v>99</v>
      </c>
      <c r="B208" s="22" t="s">
        <v>78</v>
      </c>
      <c r="C208" s="22" t="s">
        <v>484</v>
      </c>
      <c r="D208" s="22" t="s">
        <v>237</v>
      </c>
      <c r="E208" s="47"/>
      <c r="F208" s="115"/>
      <c r="G208" s="220"/>
      <c r="H208" s="126">
        <f>H209</f>
        <v>1365.35</v>
      </c>
      <c r="I208" s="126">
        <f t="shared" ref="I208:J210" si="100">I209</f>
        <v>1365.3489999999999</v>
      </c>
      <c r="J208" s="126">
        <f t="shared" si="100"/>
        <v>1365.3489999999999</v>
      </c>
      <c r="K208" s="126">
        <f t="shared" si="96"/>
        <v>99.999926758706565</v>
      </c>
    </row>
    <row r="209" spans="1:11" ht="13.5">
      <c r="A209" s="110" t="s">
        <v>228</v>
      </c>
      <c r="B209" s="22" t="s">
        <v>78</v>
      </c>
      <c r="C209" s="22" t="s">
        <v>484</v>
      </c>
      <c r="D209" s="21" t="s">
        <v>763</v>
      </c>
      <c r="E209" s="22"/>
      <c r="F209" s="115"/>
      <c r="G209" s="154"/>
      <c r="H209" s="112">
        <f>H210</f>
        <v>1365.35</v>
      </c>
      <c r="I209" s="112">
        <f t="shared" si="100"/>
        <v>1365.3489999999999</v>
      </c>
      <c r="J209" s="112">
        <f t="shared" si="100"/>
        <v>1365.3489999999999</v>
      </c>
      <c r="K209" s="112">
        <f t="shared" si="96"/>
        <v>99.999926758706565</v>
      </c>
    </row>
    <row r="210" spans="1:11" ht="13.5">
      <c r="A210" s="72" t="s">
        <v>301</v>
      </c>
      <c r="B210" s="28" t="s">
        <v>78</v>
      </c>
      <c r="C210" s="28" t="s">
        <v>484</v>
      </c>
      <c r="D210" s="28" t="s">
        <v>763</v>
      </c>
      <c r="E210" s="28" t="s">
        <v>84</v>
      </c>
      <c r="F210" s="115"/>
      <c r="G210" s="154"/>
      <c r="H210" s="121">
        <f>H211</f>
        <v>1365.35</v>
      </c>
      <c r="I210" s="121">
        <f t="shared" si="100"/>
        <v>1365.3489999999999</v>
      </c>
      <c r="J210" s="121">
        <f t="shared" si="100"/>
        <v>1365.3489999999999</v>
      </c>
      <c r="K210" s="121">
        <f t="shared" si="96"/>
        <v>99.999926758706565</v>
      </c>
    </row>
    <row r="211" spans="1:11" ht="13.5">
      <c r="A211" s="72" t="s">
        <v>85</v>
      </c>
      <c r="B211" s="28" t="s">
        <v>78</v>
      </c>
      <c r="C211" s="28" t="s">
        <v>484</v>
      </c>
      <c r="D211" s="28" t="s">
        <v>763</v>
      </c>
      <c r="E211" s="28" t="s">
        <v>86</v>
      </c>
      <c r="F211" s="115"/>
      <c r="G211" s="154"/>
      <c r="H211" s="121">
        <v>1365.35</v>
      </c>
      <c r="I211" s="121">
        <v>1365.3489999999999</v>
      </c>
      <c r="J211" s="121">
        <v>1365.3489999999999</v>
      </c>
      <c r="K211" s="121">
        <f t="shared" si="96"/>
        <v>99.999926758706565</v>
      </c>
    </row>
    <row r="212" spans="1:11" ht="36">
      <c r="A212" s="128" t="s">
        <v>594</v>
      </c>
      <c r="B212" s="125" t="s">
        <v>78</v>
      </c>
      <c r="C212" s="125" t="s">
        <v>484</v>
      </c>
      <c r="D212" s="129" t="s">
        <v>334</v>
      </c>
      <c r="E212" s="125"/>
      <c r="F212" s="126" t="e">
        <f>F213+#REF!+#REF!+F218+F221+F226+F231+F236</f>
        <v>#REF!</v>
      </c>
      <c r="G212" s="154" t="e">
        <f t="shared" si="95"/>
        <v>#REF!</v>
      </c>
      <c r="H212" s="126">
        <f>H213+H218+H221+H226+H231+H236</f>
        <v>923419.70918999997</v>
      </c>
      <c r="I212" s="126">
        <f t="shared" ref="I212:J212" si="101">I213+I218+I221+I226+I231+I236</f>
        <v>629020.04500000004</v>
      </c>
      <c r="J212" s="126">
        <f t="shared" si="101"/>
        <v>921314.81518999999</v>
      </c>
      <c r="K212" s="126">
        <f t="shared" si="96"/>
        <v>99.772054464611088</v>
      </c>
    </row>
    <row r="213" spans="1:11" ht="24">
      <c r="A213" s="110" t="s">
        <v>239</v>
      </c>
      <c r="B213" s="111" t="s">
        <v>78</v>
      </c>
      <c r="C213" s="111" t="s">
        <v>484</v>
      </c>
      <c r="D213" s="111" t="s">
        <v>595</v>
      </c>
      <c r="E213" s="111"/>
      <c r="F213" s="112">
        <f>F214</f>
        <v>19534</v>
      </c>
      <c r="G213" s="154">
        <f t="shared" si="95"/>
        <v>8181.064190000001</v>
      </c>
      <c r="H213" s="112">
        <f>H214+H216</f>
        <v>27715.064190000001</v>
      </c>
      <c r="I213" s="112">
        <f t="shared" ref="I213:J213" si="102">I214+I216</f>
        <v>9755.3119999999999</v>
      </c>
      <c r="J213" s="112">
        <f t="shared" si="102"/>
        <v>25938.064190000001</v>
      </c>
      <c r="K213" s="112">
        <f t="shared" si="96"/>
        <v>93.588324429567194</v>
      </c>
    </row>
    <row r="214" spans="1:11">
      <c r="A214" s="119" t="s">
        <v>596</v>
      </c>
      <c r="B214" s="120" t="s">
        <v>78</v>
      </c>
      <c r="C214" s="120" t="s">
        <v>484</v>
      </c>
      <c r="D214" s="120" t="s">
        <v>595</v>
      </c>
      <c r="E214" s="120" t="s">
        <v>84</v>
      </c>
      <c r="F214" s="121">
        <f>F215</f>
        <v>19534</v>
      </c>
      <c r="G214" s="154">
        <f t="shared" si="95"/>
        <v>7544.3981899999999</v>
      </c>
      <c r="H214" s="121">
        <f>H215</f>
        <v>27078.39819</v>
      </c>
      <c r="I214" s="121">
        <f t="shared" ref="I214:J214" si="103">I215</f>
        <v>9118.6460000000006</v>
      </c>
      <c r="J214" s="121">
        <f t="shared" si="103"/>
        <v>25301.39819</v>
      </c>
      <c r="K214" s="121">
        <f t="shared" si="96"/>
        <v>93.437573420955744</v>
      </c>
    </row>
    <row r="215" spans="1:11">
      <c r="A215" s="119" t="s">
        <v>85</v>
      </c>
      <c r="B215" s="120" t="s">
        <v>78</v>
      </c>
      <c r="C215" s="120" t="s">
        <v>484</v>
      </c>
      <c r="D215" s="120" t="s">
        <v>595</v>
      </c>
      <c r="E215" s="120" t="s">
        <v>86</v>
      </c>
      <c r="F215" s="121">
        <v>19534</v>
      </c>
      <c r="G215" s="154">
        <f t="shared" si="95"/>
        <v>7544.3981899999999</v>
      </c>
      <c r="H215" s="121">
        <f>19534+8181.06419-636.666</f>
        <v>27078.39819</v>
      </c>
      <c r="I215" s="121">
        <v>9118.6460000000006</v>
      </c>
      <c r="J215" s="121">
        <f>19534+8181.06419-636.666-1777</f>
        <v>25301.39819</v>
      </c>
      <c r="K215" s="121">
        <f t="shared" si="96"/>
        <v>93.437573420955744</v>
      </c>
    </row>
    <row r="216" spans="1:11" ht="24">
      <c r="A216" s="119" t="s">
        <v>433</v>
      </c>
      <c r="B216" s="120" t="s">
        <v>78</v>
      </c>
      <c r="C216" s="120" t="s">
        <v>484</v>
      </c>
      <c r="D216" s="120" t="s">
        <v>595</v>
      </c>
      <c r="E216" s="120" t="s">
        <v>434</v>
      </c>
      <c r="F216" s="121"/>
      <c r="G216" s="154"/>
      <c r="H216" s="121">
        <f>H217</f>
        <v>636.66600000000005</v>
      </c>
      <c r="I216" s="121">
        <f t="shared" ref="I216:J216" si="104">I217</f>
        <v>636.66600000000005</v>
      </c>
      <c r="J216" s="121">
        <f t="shared" si="104"/>
        <v>636.66600000000005</v>
      </c>
      <c r="K216" s="121">
        <f t="shared" si="96"/>
        <v>100</v>
      </c>
    </row>
    <row r="217" spans="1:11">
      <c r="A217" s="119" t="s">
        <v>435</v>
      </c>
      <c r="B217" s="120" t="s">
        <v>78</v>
      </c>
      <c r="C217" s="120" t="s">
        <v>484</v>
      </c>
      <c r="D217" s="120" t="s">
        <v>595</v>
      </c>
      <c r="E217" s="120" t="s">
        <v>436</v>
      </c>
      <c r="F217" s="121"/>
      <c r="G217" s="154"/>
      <c r="H217" s="121">
        <v>636.66600000000005</v>
      </c>
      <c r="I217" s="121">
        <v>636.66600000000005</v>
      </c>
      <c r="J217" s="121">
        <v>636.66600000000005</v>
      </c>
      <c r="K217" s="121">
        <f t="shared" si="96"/>
        <v>100</v>
      </c>
    </row>
    <row r="218" spans="1:11">
      <c r="A218" s="110" t="s">
        <v>228</v>
      </c>
      <c r="B218" s="111" t="s">
        <v>78</v>
      </c>
      <c r="C218" s="111" t="s">
        <v>484</v>
      </c>
      <c r="D218" s="111" t="s">
        <v>597</v>
      </c>
      <c r="E218" s="111"/>
      <c r="F218" s="112">
        <f>F219</f>
        <v>37562</v>
      </c>
      <c r="G218" s="154">
        <f t="shared" si="95"/>
        <v>-3673.0699999999997</v>
      </c>
      <c r="H218" s="112">
        <f>H219</f>
        <v>33888.93</v>
      </c>
      <c r="I218" s="112">
        <f t="shared" ref="I218:J219" si="105">I219</f>
        <v>29571.143</v>
      </c>
      <c r="J218" s="112">
        <f t="shared" si="105"/>
        <v>33888.93</v>
      </c>
      <c r="K218" s="112">
        <f t="shared" si="96"/>
        <v>100</v>
      </c>
    </row>
    <row r="219" spans="1:11">
      <c r="A219" s="119" t="s">
        <v>596</v>
      </c>
      <c r="B219" s="120" t="s">
        <v>78</v>
      </c>
      <c r="C219" s="120" t="s">
        <v>484</v>
      </c>
      <c r="D219" s="120" t="s">
        <v>597</v>
      </c>
      <c r="E219" s="120" t="s">
        <v>84</v>
      </c>
      <c r="F219" s="121">
        <f>F220</f>
        <v>37562</v>
      </c>
      <c r="G219" s="154">
        <f t="shared" si="95"/>
        <v>-3673.0699999999997</v>
      </c>
      <c r="H219" s="121">
        <f>H220</f>
        <v>33888.93</v>
      </c>
      <c r="I219" s="121">
        <f t="shared" si="105"/>
        <v>29571.143</v>
      </c>
      <c r="J219" s="121">
        <f t="shared" si="105"/>
        <v>33888.93</v>
      </c>
      <c r="K219" s="121">
        <f t="shared" si="96"/>
        <v>100</v>
      </c>
    </row>
    <row r="220" spans="1:11">
      <c r="A220" s="119" t="s">
        <v>85</v>
      </c>
      <c r="B220" s="120" t="s">
        <v>78</v>
      </c>
      <c r="C220" s="120" t="s">
        <v>484</v>
      </c>
      <c r="D220" s="120" t="s">
        <v>597</v>
      </c>
      <c r="E220" s="120" t="s">
        <v>86</v>
      </c>
      <c r="F220" s="121">
        <f>4450.7+33111.3</f>
        <v>37562</v>
      </c>
      <c r="G220" s="154">
        <f t="shared" si="95"/>
        <v>-3673.0699999999997</v>
      </c>
      <c r="H220" s="121">
        <f>4450.7+33111.3-2232.72-1365.35-75</f>
        <v>33888.93</v>
      </c>
      <c r="I220" s="121">
        <v>29571.143</v>
      </c>
      <c r="J220" s="121">
        <f>4450.7+33111.3-2232.72-1365.35-75</f>
        <v>33888.93</v>
      </c>
      <c r="K220" s="121">
        <f t="shared" si="96"/>
        <v>100</v>
      </c>
    </row>
    <row r="221" spans="1:11" ht="24">
      <c r="A221" s="143" t="s">
        <v>598</v>
      </c>
      <c r="B221" s="125" t="s">
        <v>78</v>
      </c>
      <c r="C221" s="125" t="s">
        <v>484</v>
      </c>
      <c r="D221" s="125" t="s">
        <v>43</v>
      </c>
      <c r="E221" s="125"/>
      <c r="F221" s="136">
        <f>F222</f>
        <v>151753.79999999999</v>
      </c>
      <c r="G221" s="154">
        <f t="shared" si="95"/>
        <v>161721.799</v>
      </c>
      <c r="H221" s="136">
        <f>H222+H224</f>
        <v>313475.59899999999</v>
      </c>
      <c r="I221" s="136">
        <f t="shared" ref="I221:J221" si="106">I222+I224</f>
        <v>207587.777</v>
      </c>
      <c r="J221" s="136">
        <f t="shared" si="106"/>
        <v>313475.59899999999</v>
      </c>
      <c r="K221" s="126">
        <f t="shared" si="96"/>
        <v>100</v>
      </c>
    </row>
    <row r="222" spans="1:11">
      <c r="A222" s="119" t="s">
        <v>596</v>
      </c>
      <c r="B222" s="120" t="s">
        <v>78</v>
      </c>
      <c r="C222" s="120" t="s">
        <v>484</v>
      </c>
      <c r="D222" s="120" t="s">
        <v>43</v>
      </c>
      <c r="E222" s="120" t="s">
        <v>84</v>
      </c>
      <c r="F222" s="135">
        <f>F223</f>
        <v>151753.79999999999</v>
      </c>
      <c r="G222" s="154">
        <f t="shared" si="95"/>
        <v>159346.799</v>
      </c>
      <c r="H222" s="135">
        <f>H223</f>
        <v>311100.59899999999</v>
      </c>
      <c r="I222" s="135">
        <f t="shared" ref="I222:J222" si="107">I223</f>
        <v>205212.777</v>
      </c>
      <c r="J222" s="135">
        <f t="shared" si="107"/>
        <v>311100.59899999999</v>
      </c>
      <c r="K222" s="121">
        <f t="shared" si="96"/>
        <v>100</v>
      </c>
    </row>
    <row r="223" spans="1:11">
      <c r="A223" s="119" t="s">
        <v>85</v>
      </c>
      <c r="B223" s="120" t="s">
        <v>78</v>
      </c>
      <c r="C223" s="120" t="s">
        <v>484</v>
      </c>
      <c r="D223" s="120" t="s">
        <v>43</v>
      </c>
      <c r="E223" s="120" t="s">
        <v>86</v>
      </c>
      <c r="F223" s="135">
        <v>151753.79999999999</v>
      </c>
      <c r="G223" s="154">
        <f t="shared" si="95"/>
        <v>159346.799</v>
      </c>
      <c r="H223" s="135">
        <f>151753.82-24750-2375+150000+11721.779+10800+13950</f>
        <v>311100.59899999999</v>
      </c>
      <c r="I223" s="135">
        <v>205212.777</v>
      </c>
      <c r="J223" s="135">
        <v>311100.59899999999</v>
      </c>
      <c r="K223" s="121">
        <f t="shared" si="96"/>
        <v>100</v>
      </c>
    </row>
    <row r="224" spans="1:11" ht="24">
      <c r="A224" s="119" t="s">
        <v>433</v>
      </c>
      <c r="B224" s="120" t="s">
        <v>78</v>
      </c>
      <c r="C224" s="120" t="s">
        <v>484</v>
      </c>
      <c r="D224" s="120" t="s">
        <v>43</v>
      </c>
      <c r="E224" s="120" t="s">
        <v>434</v>
      </c>
      <c r="F224" s="135"/>
      <c r="G224" s="154"/>
      <c r="H224" s="135">
        <f>H225</f>
        <v>2375</v>
      </c>
      <c r="I224" s="135">
        <f t="shared" ref="I224:J224" si="108">I225</f>
        <v>2375</v>
      </c>
      <c r="J224" s="135">
        <f t="shared" si="108"/>
        <v>2375</v>
      </c>
      <c r="K224" s="121">
        <f t="shared" si="96"/>
        <v>100</v>
      </c>
    </row>
    <row r="225" spans="1:11">
      <c r="A225" s="119" t="s">
        <v>435</v>
      </c>
      <c r="B225" s="120" t="s">
        <v>78</v>
      </c>
      <c r="C225" s="120" t="s">
        <v>484</v>
      </c>
      <c r="D225" s="120" t="s">
        <v>43</v>
      </c>
      <c r="E225" s="120" t="s">
        <v>436</v>
      </c>
      <c r="F225" s="135"/>
      <c r="G225" s="154"/>
      <c r="H225" s="135">
        <f>24750+2375-10800-13950</f>
        <v>2375</v>
      </c>
      <c r="I225" s="135">
        <v>2375</v>
      </c>
      <c r="J225" s="135">
        <v>2375</v>
      </c>
      <c r="K225" s="121">
        <f t="shared" si="96"/>
        <v>100</v>
      </c>
    </row>
    <row r="226" spans="1:11" ht="24">
      <c r="A226" s="124" t="s">
        <v>240</v>
      </c>
      <c r="B226" s="125" t="s">
        <v>78</v>
      </c>
      <c r="C226" s="125" t="s">
        <v>484</v>
      </c>
      <c r="D226" s="125" t="s">
        <v>44</v>
      </c>
      <c r="E226" s="125"/>
      <c r="F226" s="136">
        <f>F227</f>
        <v>10623</v>
      </c>
      <c r="G226" s="154">
        <f t="shared" si="95"/>
        <v>8947.4199999999983</v>
      </c>
      <c r="H226" s="136">
        <f>H227+H229</f>
        <v>19570.419999999998</v>
      </c>
      <c r="I226" s="136">
        <f t="shared" ref="I226:J226" si="109">I227+I229</f>
        <v>8736.6880000000001</v>
      </c>
      <c r="J226" s="136">
        <f t="shared" si="109"/>
        <v>19570.419999999998</v>
      </c>
      <c r="K226" s="126">
        <f t="shared" si="96"/>
        <v>100</v>
      </c>
    </row>
    <row r="227" spans="1:11">
      <c r="A227" s="119" t="s">
        <v>596</v>
      </c>
      <c r="B227" s="120" t="s">
        <v>78</v>
      </c>
      <c r="C227" s="120" t="s">
        <v>484</v>
      </c>
      <c r="D227" s="120" t="s">
        <v>44</v>
      </c>
      <c r="E227" s="120" t="s">
        <v>84</v>
      </c>
      <c r="F227" s="135">
        <f>F228</f>
        <v>10623</v>
      </c>
      <c r="G227" s="154">
        <f t="shared" si="95"/>
        <v>8822.4199999999983</v>
      </c>
      <c r="H227" s="135">
        <f>H228</f>
        <v>19445.419999999998</v>
      </c>
      <c r="I227" s="135">
        <f t="shared" ref="I227:J227" si="110">I228</f>
        <v>8611.6880000000001</v>
      </c>
      <c r="J227" s="135">
        <f t="shared" si="110"/>
        <v>19445.419999999998</v>
      </c>
      <c r="K227" s="121">
        <f t="shared" si="96"/>
        <v>100</v>
      </c>
    </row>
    <row r="228" spans="1:11">
      <c r="A228" s="119" t="s">
        <v>85</v>
      </c>
      <c r="B228" s="120" t="s">
        <v>78</v>
      </c>
      <c r="C228" s="120" t="s">
        <v>484</v>
      </c>
      <c r="D228" s="120" t="s">
        <v>44</v>
      </c>
      <c r="E228" s="120" t="s">
        <v>86</v>
      </c>
      <c r="F228" s="135">
        <v>10623</v>
      </c>
      <c r="G228" s="154">
        <f t="shared" si="95"/>
        <v>8822.4199999999983</v>
      </c>
      <c r="H228" s="135">
        <f>10623-2750+2232.72-125+1200+6714.7+1550</f>
        <v>19445.419999999998</v>
      </c>
      <c r="I228" s="135">
        <v>8611.6880000000001</v>
      </c>
      <c r="J228" s="135">
        <f>10623-2750+2232.72-125+1200+6714.7+1550</f>
        <v>19445.419999999998</v>
      </c>
      <c r="K228" s="121">
        <f t="shared" si="96"/>
        <v>100</v>
      </c>
    </row>
    <row r="229" spans="1:11" ht="24">
      <c r="A229" s="119" t="s">
        <v>433</v>
      </c>
      <c r="B229" s="120" t="s">
        <v>78</v>
      </c>
      <c r="C229" s="120" t="s">
        <v>484</v>
      </c>
      <c r="D229" s="120" t="s">
        <v>44</v>
      </c>
      <c r="E229" s="120" t="s">
        <v>434</v>
      </c>
      <c r="F229" s="135"/>
      <c r="G229" s="154"/>
      <c r="H229" s="135">
        <f>H230</f>
        <v>125</v>
      </c>
      <c r="I229" s="135">
        <f t="shared" ref="I229:J229" si="111">I230</f>
        <v>125</v>
      </c>
      <c r="J229" s="135">
        <f t="shared" si="111"/>
        <v>125</v>
      </c>
      <c r="K229" s="121">
        <f t="shared" si="96"/>
        <v>100</v>
      </c>
    </row>
    <row r="230" spans="1:11">
      <c r="A230" s="119" t="s">
        <v>435</v>
      </c>
      <c r="B230" s="120" t="s">
        <v>78</v>
      </c>
      <c r="C230" s="120" t="s">
        <v>484</v>
      </c>
      <c r="D230" s="120" t="s">
        <v>44</v>
      </c>
      <c r="E230" s="120" t="s">
        <v>436</v>
      </c>
      <c r="F230" s="135"/>
      <c r="G230" s="154"/>
      <c r="H230" s="135">
        <f>2750+125-1200-1550</f>
        <v>125</v>
      </c>
      <c r="I230" s="135">
        <v>125</v>
      </c>
      <c r="J230" s="135">
        <v>125</v>
      </c>
      <c r="K230" s="121">
        <f t="shared" si="96"/>
        <v>100</v>
      </c>
    </row>
    <row r="231" spans="1:11" ht="48">
      <c r="A231" s="110" t="s">
        <v>707</v>
      </c>
      <c r="B231" s="111" t="s">
        <v>586</v>
      </c>
      <c r="C231" s="111" t="s">
        <v>484</v>
      </c>
      <c r="D231" s="111" t="s">
        <v>587</v>
      </c>
      <c r="E231" s="111"/>
      <c r="F231" s="134">
        <f>F232+F234</f>
        <v>400000</v>
      </c>
      <c r="G231" s="154">
        <f t="shared" si="95"/>
        <v>0</v>
      </c>
      <c r="H231" s="134">
        <f>H232+H234</f>
        <v>400000</v>
      </c>
      <c r="I231" s="134">
        <f t="shared" ref="I231:J231" si="112">I232+I234</f>
        <v>272246.82900000003</v>
      </c>
      <c r="J231" s="134">
        <f t="shared" si="112"/>
        <v>400000</v>
      </c>
      <c r="K231" s="112">
        <f t="shared" si="96"/>
        <v>100</v>
      </c>
    </row>
    <row r="232" spans="1:11">
      <c r="A232" s="119" t="s">
        <v>596</v>
      </c>
      <c r="B232" s="120" t="s">
        <v>78</v>
      </c>
      <c r="C232" s="120" t="s">
        <v>484</v>
      </c>
      <c r="D232" s="120" t="s">
        <v>587</v>
      </c>
      <c r="E232" s="120" t="s">
        <v>84</v>
      </c>
      <c r="F232" s="135">
        <f>F233</f>
        <v>329000</v>
      </c>
      <c r="G232" s="154">
        <f t="shared" si="95"/>
        <v>0</v>
      </c>
      <c r="H232" s="135">
        <f>H233</f>
        <v>329000</v>
      </c>
      <c r="I232" s="135">
        <f t="shared" ref="I232:J232" si="113">I233</f>
        <v>239047.76800000001</v>
      </c>
      <c r="J232" s="135">
        <f t="shared" si="113"/>
        <v>329000</v>
      </c>
      <c r="K232" s="121">
        <f t="shared" si="96"/>
        <v>100</v>
      </c>
    </row>
    <row r="233" spans="1:11">
      <c r="A233" s="119" t="s">
        <v>85</v>
      </c>
      <c r="B233" s="120" t="s">
        <v>78</v>
      </c>
      <c r="C233" s="120" t="s">
        <v>484</v>
      </c>
      <c r="D233" s="120" t="s">
        <v>587</v>
      </c>
      <c r="E233" s="120" t="s">
        <v>86</v>
      </c>
      <c r="F233" s="135">
        <v>329000</v>
      </c>
      <c r="G233" s="154">
        <f t="shared" si="95"/>
        <v>0</v>
      </c>
      <c r="H233" s="135">
        <v>329000</v>
      </c>
      <c r="I233" s="135">
        <v>239047.76800000001</v>
      </c>
      <c r="J233" s="135">
        <v>329000</v>
      </c>
      <c r="K233" s="121">
        <f t="shared" si="96"/>
        <v>100</v>
      </c>
    </row>
    <row r="234" spans="1:11" ht="24">
      <c r="A234" s="119" t="s">
        <v>433</v>
      </c>
      <c r="B234" s="120" t="s">
        <v>78</v>
      </c>
      <c r="C234" s="120" t="s">
        <v>484</v>
      </c>
      <c r="D234" s="120" t="s">
        <v>587</v>
      </c>
      <c r="E234" s="120" t="s">
        <v>434</v>
      </c>
      <c r="F234" s="135">
        <f>F235</f>
        <v>71000</v>
      </c>
      <c r="G234" s="154">
        <f t="shared" si="95"/>
        <v>0</v>
      </c>
      <c r="H234" s="135">
        <f>H235</f>
        <v>71000</v>
      </c>
      <c r="I234" s="135">
        <f t="shared" ref="I234:J234" si="114">I235</f>
        <v>33199.061000000002</v>
      </c>
      <c r="J234" s="135">
        <f t="shared" si="114"/>
        <v>71000</v>
      </c>
      <c r="K234" s="121">
        <f t="shared" si="96"/>
        <v>100</v>
      </c>
    </row>
    <row r="235" spans="1:11">
      <c r="A235" s="119" t="s">
        <v>435</v>
      </c>
      <c r="B235" s="120" t="s">
        <v>78</v>
      </c>
      <c r="C235" s="120" t="s">
        <v>484</v>
      </c>
      <c r="D235" s="120" t="s">
        <v>587</v>
      </c>
      <c r="E235" s="120" t="s">
        <v>436</v>
      </c>
      <c r="F235" s="135">
        <v>71000</v>
      </c>
      <c r="G235" s="154">
        <f t="shared" si="95"/>
        <v>0</v>
      </c>
      <c r="H235" s="135">
        <v>71000</v>
      </c>
      <c r="I235" s="135">
        <v>33199.061000000002</v>
      </c>
      <c r="J235" s="135">
        <v>71000</v>
      </c>
      <c r="K235" s="121">
        <f t="shared" si="96"/>
        <v>100</v>
      </c>
    </row>
    <row r="236" spans="1:11" ht="24">
      <c r="A236" s="110" t="s">
        <v>588</v>
      </c>
      <c r="B236" s="111" t="s">
        <v>586</v>
      </c>
      <c r="C236" s="111" t="s">
        <v>484</v>
      </c>
      <c r="D236" s="111" t="s">
        <v>589</v>
      </c>
      <c r="E236" s="111"/>
      <c r="F236" s="134">
        <f>F237+F239</f>
        <v>100243</v>
      </c>
      <c r="G236" s="154">
        <f t="shared" si="95"/>
        <v>28526.695999999996</v>
      </c>
      <c r="H236" s="134">
        <f>H237+H239</f>
        <v>128769.696</v>
      </c>
      <c r="I236" s="134">
        <f t="shared" ref="I236:J236" si="115">I237+I239</f>
        <v>101122.296</v>
      </c>
      <c r="J236" s="134">
        <f t="shared" si="115"/>
        <v>128441.802</v>
      </c>
      <c r="K236" s="112">
        <f t="shared" si="96"/>
        <v>99.745364002412501</v>
      </c>
    </row>
    <row r="237" spans="1:11">
      <c r="A237" s="119" t="s">
        <v>596</v>
      </c>
      <c r="B237" s="120" t="s">
        <v>78</v>
      </c>
      <c r="C237" s="120" t="s">
        <v>484</v>
      </c>
      <c r="D237" s="120" t="s">
        <v>589</v>
      </c>
      <c r="E237" s="120" t="s">
        <v>84</v>
      </c>
      <c r="F237" s="135">
        <f>F238</f>
        <v>91437.55</v>
      </c>
      <c r="G237" s="154">
        <f t="shared" si="95"/>
        <v>28526.695999999996</v>
      </c>
      <c r="H237" s="135">
        <f>H238</f>
        <v>119964.246</v>
      </c>
      <c r="I237" s="135">
        <f t="shared" ref="I237:J237" si="116">I238</f>
        <v>101122.296</v>
      </c>
      <c r="J237" s="135">
        <f t="shared" si="116"/>
        <v>119636.352</v>
      </c>
      <c r="K237" s="121">
        <f t="shared" si="96"/>
        <v>99.726673562387916</v>
      </c>
    </row>
    <row r="238" spans="1:11">
      <c r="A238" s="119" t="s">
        <v>85</v>
      </c>
      <c r="B238" s="120" t="s">
        <v>78</v>
      </c>
      <c r="C238" s="120" t="s">
        <v>484</v>
      </c>
      <c r="D238" s="120" t="s">
        <v>589</v>
      </c>
      <c r="E238" s="120" t="s">
        <v>86</v>
      </c>
      <c r="F238" s="135">
        <v>91437.55</v>
      </c>
      <c r="G238" s="154">
        <f t="shared" si="95"/>
        <v>28526.695999999996</v>
      </c>
      <c r="H238" s="135">
        <f>91437.55+28526.696</f>
        <v>119964.246</v>
      </c>
      <c r="I238" s="135">
        <v>101122.296</v>
      </c>
      <c r="J238" s="135">
        <f>91437.55+28526.696-327.894</f>
        <v>119636.352</v>
      </c>
      <c r="K238" s="121">
        <f t="shared" si="96"/>
        <v>99.726673562387916</v>
      </c>
    </row>
    <row r="239" spans="1:11" ht="24">
      <c r="A239" s="119" t="s">
        <v>433</v>
      </c>
      <c r="B239" s="120" t="s">
        <v>78</v>
      </c>
      <c r="C239" s="120" t="s">
        <v>484</v>
      </c>
      <c r="D239" s="120" t="s">
        <v>589</v>
      </c>
      <c r="E239" s="120" t="s">
        <v>434</v>
      </c>
      <c r="F239" s="135">
        <f>F240</f>
        <v>8805.4500000000007</v>
      </c>
      <c r="G239" s="154">
        <f t="shared" si="95"/>
        <v>0</v>
      </c>
      <c r="H239" s="135">
        <f>H240</f>
        <v>8805.4500000000007</v>
      </c>
      <c r="I239" s="135">
        <f t="shared" ref="I239:J239" si="117">I240</f>
        <v>0</v>
      </c>
      <c r="J239" s="135">
        <f t="shared" si="117"/>
        <v>8805.4500000000007</v>
      </c>
      <c r="K239" s="121">
        <f t="shared" si="96"/>
        <v>100</v>
      </c>
    </row>
    <row r="240" spans="1:11">
      <c r="A240" s="119" t="s">
        <v>435</v>
      </c>
      <c r="B240" s="120" t="s">
        <v>78</v>
      </c>
      <c r="C240" s="120" t="s">
        <v>484</v>
      </c>
      <c r="D240" s="120" t="s">
        <v>589</v>
      </c>
      <c r="E240" s="120" t="s">
        <v>436</v>
      </c>
      <c r="F240" s="135">
        <v>8805.4500000000007</v>
      </c>
      <c r="G240" s="154">
        <f t="shared" si="95"/>
        <v>0</v>
      </c>
      <c r="H240" s="135">
        <v>8805.4500000000007</v>
      </c>
      <c r="I240" s="135">
        <v>0</v>
      </c>
      <c r="J240" s="135">
        <f>8805.45</f>
        <v>8805.4500000000007</v>
      </c>
      <c r="K240" s="121">
        <f t="shared" si="96"/>
        <v>100</v>
      </c>
    </row>
    <row r="241" spans="1:11">
      <c r="A241" s="124" t="s">
        <v>456</v>
      </c>
      <c r="B241" s="125" t="s">
        <v>78</v>
      </c>
      <c r="C241" s="125" t="s">
        <v>484</v>
      </c>
      <c r="D241" s="125" t="s">
        <v>329</v>
      </c>
      <c r="E241" s="125"/>
      <c r="F241" s="126">
        <f>F242+F250</f>
        <v>18034.3</v>
      </c>
      <c r="G241" s="154">
        <f t="shared" si="95"/>
        <v>22075.000000000004</v>
      </c>
      <c r="H241" s="126">
        <f>H242+H250</f>
        <v>40109.300000000003</v>
      </c>
      <c r="I241" s="126">
        <f t="shared" ref="I241:J241" si="118">I242+I250</f>
        <v>25594.163</v>
      </c>
      <c r="J241" s="126">
        <f t="shared" si="118"/>
        <v>40109.300000000003</v>
      </c>
      <c r="K241" s="126">
        <f t="shared" si="96"/>
        <v>100</v>
      </c>
    </row>
    <row r="242" spans="1:11">
      <c r="A242" s="159" t="s">
        <v>335</v>
      </c>
      <c r="B242" s="139" t="s">
        <v>78</v>
      </c>
      <c r="C242" s="139" t="s">
        <v>484</v>
      </c>
      <c r="D242" s="160" t="s">
        <v>599</v>
      </c>
      <c r="E242" s="139"/>
      <c r="F242" s="144">
        <f>F243</f>
        <v>4350</v>
      </c>
      <c r="G242" s="154">
        <f t="shared" si="95"/>
        <v>75</v>
      </c>
      <c r="H242" s="144">
        <f>H243</f>
        <v>4425</v>
      </c>
      <c r="I242" s="144">
        <f t="shared" ref="I242:J242" si="119">I243</f>
        <v>3025.8559999999998</v>
      </c>
      <c r="J242" s="144">
        <f t="shared" si="119"/>
        <v>4425</v>
      </c>
      <c r="K242" s="144">
        <f t="shared" si="96"/>
        <v>100</v>
      </c>
    </row>
    <row r="243" spans="1:11">
      <c r="A243" s="110" t="s">
        <v>485</v>
      </c>
      <c r="B243" s="111" t="s">
        <v>78</v>
      </c>
      <c r="C243" s="111" t="s">
        <v>484</v>
      </c>
      <c r="D243" s="111" t="s">
        <v>599</v>
      </c>
      <c r="E243" s="111"/>
      <c r="F243" s="112">
        <f>F244+F246+F248</f>
        <v>4350</v>
      </c>
      <c r="G243" s="154">
        <f t="shared" si="95"/>
        <v>75</v>
      </c>
      <c r="H243" s="112">
        <f>H244+H246+H248</f>
        <v>4425</v>
      </c>
      <c r="I243" s="112">
        <f t="shared" ref="I243:J243" si="120">I244+I246+I248</f>
        <v>3025.8559999999998</v>
      </c>
      <c r="J243" s="112">
        <f t="shared" si="120"/>
        <v>4425</v>
      </c>
      <c r="K243" s="112">
        <f t="shared" si="96"/>
        <v>100</v>
      </c>
    </row>
    <row r="244" spans="1:11" ht="36">
      <c r="A244" s="119" t="s">
        <v>79</v>
      </c>
      <c r="B244" s="120" t="s">
        <v>78</v>
      </c>
      <c r="C244" s="120" t="s">
        <v>484</v>
      </c>
      <c r="D244" s="120" t="s">
        <v>599</v>
      </c>
      <c r="E244" s="120" t="s">
        <v>80</v>
      </c>
      <c r="F244" s="121">
        <f>F245</f>
        <v>3890</v>
      </c>
      <c r="G244" s="154">
        <f t="shared" si="95"/>
        <v>-65</v>
      </c>
      <c r="H244" s="121">
        <f>H245</f>
        <v>3825</v>
      </c>
      <c r="I244" s="121">
        <f t="shared" ref="I244:J244" si="121">I245</f>
        <v>2703.8989999999999</v>
      </c>
      <c r="J244" s="121">
        <f t="shared" si="121"/>
        <v>3825</v>
      </c>
      <c r="K244" s="121">
        <f t="shared" si="96"/>
        <v>100</v>
      </c>
    </row>
    <row r="245" spans="1:11">
      <c r="A245" s="119" t="s">
        <v>486</v>
      </c>
      <c r="B245" s="120" t="s">
        <v>78</v>
      </c>
      <c r="C245" s="120" t="s">
        <v>484</v>
      </c>
      <c r="D245" s="120" t="s">
        <v>599</v>
      </c>
      <c r="E245" s="120" t="s">
        <v>487</v>
      </c>
      <c r="F245" s="121">
        <f>2990+900</f>
        <v>3890</v>
      </c>
      <c r="G245" s="154">
        <f t="shared" si="95"/>
        <v>-65</v>
      </c>
      <c r="H245" s="121">
        <f>2990+900-65</f>
        <v>3825</v>
      </c>
      <c r="I245" s="121">
        <v>2703.8989999999999</v>
      </c>
      <c r="J245" s="121">
        <f>2990+900-65</f>
        <v>3825</v>
      </c>
      <c r="K245" s="121">
        <f t="shared" si="96"/>
        <v>100</v>
      </c>
    </row>
    <row r="246" spans="1:11">
      <c r="A246" s="119" t="s">
        <v>596</v>
      </c>
      <c r="B246" s="120" t="s">
        <v>78</v>
      </c>
      <c r="C246" s="120" t="s">
        <v>484</v>
      </c>
      <c r="D246" s="120" t="s">
        <v>599</v>
      </c>
      <c r="E246" s="120" t="s">
        <v>84</v>
      </c>
      <c r="F246" s="121">
        <f>F247</f>
        <v>294.7</v>
      </c>
      <c r="G246" s="154">
        <f t="shared" si="95"/>
        <v>110.88100000000003</v>
      </c>
      <c r="H246" s="121">
        <f>H247</f>
        <v>405.58100000000002</v>
      </c>
      <c r="I246" s="121">
        <f t="shared" ref="I246:J246" si="122">I247</f>
        <v>163.1</v>
      </c>
      <c r="J246" s="121">
        <f t="shared" si="122"/>
        <v>405.58100000000002</v>
      </c>
      <c r="K246" s="121">
        <f t="shared" si="96"/>
        <v>100</v>
      </c>
    </row>
    <row r="247" spans="1:11">
      <c r="A247" s="119" t="s">
        <v>85</v>
      </c>
      <c r="B247" s="120" t="s">
        <v>78</v>
      </c>
      <c r="C247" s="120" t="s">
        <v>484</v>
      </c>
      <c r="D247" s="120" t="s">
        <v>599</v>
      </c>
      <c r="E247" s="120" t="s">
        <v>86</v>
      </c>
      <c r="F247" s="121">
        <f>99+104.5+91.2</f>
        <v>294.7</v>
      </c>
      <c r="G247" s="154">
        <f t="shared" si="95"/>
        <v>110.88100000000003</v>
      </c>
      <c r="H247" s="121">
        <f>99+104.5+91.2-29.119+65+75</f>
        <v>405.58100000000002</v>
      </c>
      <c r="I247" s="121">
        <v>163.1</v>
      </c>
      <c r="J247" s="121">
        <f>99+104.5+91.2-29.119+65+75</f>
        <v>405.58100000000002</v>
      </c>
      <c r="K247" s="121">
        <f t="shared" si="96"/>
        <v>100</v>
      </c>
    </row>
    <row r="248" spans="1:11">
      <c r="A248" s="119" t="s">
        <v>87</v>
      </c>
      <c r="B248" s="120" t="s">
        <v>78</v>
      </c>
      <c r="C248" s="120" t="s">
        <v>484</v>
      </c>
      <c r="D248" s="120" t="s">
        <v>599</v>
      </c>
      <c r="E248" s="120" t="s">
        <v>88</v>
      </c>
      <c r="F248" s="121">
        <f>F249</f>
        <v>165.3</v>
      </c>
      <c r="G248" s="154">
        <f t="shared" si="95"/>
        <v>29.119</v>
      </c>
      <c r="H248" s="121">
        <f>H249</f>
        <v>194.41900000000001</v>
      </c>
      <c r="I248" s="121">
        <f t="shared" ref="I248:J248" si="123">I249</f>
        <v>158.857</v>
      </c>
      <c r="J248" s="121">
        <f t="shared" si="123"/>
        <v>194.41900000000001</v>
      </c>
      <c r="K248" s="121">
        <f t="shared" si="96"/>
        <v>100</v>
      </c>
    </row>
    <row r="249" spans="1:11">
      <c r="A249" s="119" t="s">
        <v>155</v>
      </c>
      <c r="B249" s="120" t="s">
        <v>78</v>
      </c>
      <c r="C249" s="120" t="s">
        <v>484</v>
      </c>
      <c r="D249" s="120" t="s">
        <v>599</v>
      </c>
      <c r="E249" s="120" t="s">
        <v>89</v>
      </c>
      <c r="F249" s="121">
        <v>165.3</v>
      </c>
      <c r="G249" s="154">
        <f t="shared" si="95"/>
        <v>29.119</v>
      </c>
      <c r="H249" s="121">
        <f>165.3+29.119</f>
        <v>194.41900000000001</v>
      </c>
      <c r="I249" s="121">
        <v>158.857</v>
      </c>
      <c r="J249" s="121">
        <f>165.3+29.119</f>
        <v>194.41900000000001</v>
      </c>
      <c r="K249" s="121">
        <f t="shared" si="96"/>
        <v>100</v>
      </c>
    </row>
    <row r="250" spans="1:11">
      <c r="A250" s="128" t="s">
        <v>336</v>
      </c>
      <c r="B250" s="125" t="s">
        <v>78</v>
      </c>
      <c r="C250" s="125" t="s">
        <v>484</v>
      </c>
      <c r="D250" s="129" t="s">
        <v>600</v>
      </c>
      <c r="E250" s="125"/>
      <c r="F250" s="126">
        <f>F251</f>
        <v>13684.3</v>
      </c>
      <c r="G250" s="154">
        <f t="shared" si="95"/>
        <v>22000.000000000004</v>
      </c>
      <c r="H250" s="126">
        <f>H251</f>
        <v>35684.300000000003</v>
      </c>
      <c r="I250" s="126">
        <f t="shared" ref="I250:J251" si="124">I251</f>
        <v>22568.307000000001</v>
      </c>
      <c r="J250" s="126">
        <f t="shared" si="124"/>
        <v>35684.300000000003</v>
      </c>
      <c r="K250" s="126">
        <f t="shared" si="96"/>
        <v>100</v>
      </c>
    </row>
    <row r="251" spans="1:11" ht="24">
      <c r="A251" s="119" t="s">
        <v>104</v>
      </c>
      <c r="B251" s="120" t="s">
        <v>78</v>
      </c>
      <c r="C251" s="120" t="s">
        <v>484</v>
      </c>
      <c r="D251" s="120" t="s">
        <v>600</v>
      </c>
      <c r="E251" s="120" t="s">
        <v>408</v>
      </c>
      <c r="F251" s="121">
        <f>F252</f>
        <v>13684.3</v>
      </c>
      <c r="G251" s="154">
        <f t="shared" si="95"/>
        <v>22000.000000000004</v>
      </c>
      <c r="H251" s="121">
        <f>H252</f>
        <v>35684.300000000003</v>
      </c>
      <c r="I251" s="121">
        <f t="shared" si="124"/>
        <v>22568.307000000001</v>
      </c>
      <c r="J251" s="121">
        <f t="shared" si="124"/>
        <v>35684.300000000003</v>
      </c>
      <c r="K251" s="121">
        <f t="shared" si="96"/>
        <v>100</v>
      </c>
    </row>
    <row r="252" spans="1:11">
      <c r="A252" s="119" t="s">
        <v>105</v>
      </c>
      <c r="B252" s="120" t="s">
        <v>78</v>
      </c>
      <c r="C252" s="120" t="s">
        <v>484</v>
      </c>
      <c r="D252" s="120" t="s">
        <v>600</v>
      </c>
      <c r="E252" s="120" t="s">
        <v>425</v>
      </c>
      <c r="F252" s="121">
        <v>13684.3</v>
      </c>
      <c r="G252" s="154">
        <f t="shared" si="95"/>
        <v>22000.000000000004</v>
      </c>
      <c r="H252" s="121">
        <f>13684.3+10000+1000+11000</f>
        <v>35684.300000000003</v>
      </c>
      <c r="I252" s="121">
        <v>22568.307000000001</v>
      </c>
      <c r="J252" s="121">
        <f>13684.3+10000+1000+11000</f>
        <v>35684.300000000003</v>
      </c>
      <c r="K252" s="121">
        <f t="shared" si="96"/>
        <v>100</v>
      </c>
    </row>
    <row r="253" spans="1:11">
      <c r="A253" s="110" t="s">
        <v>405</v>
      </c>
      <c r="B253" s="111" t="s">
        <v>78</v>
      </c>
      <c r="C253" s="111" t="s">
        <v>489</v>
      </c>
      <c r="D253" s="130"/>
      <c r="E253" s="120"/>
      <c r="F253" s="112" t="e">
        <f>F254+F270+F275+F282</f>
        <v>#REF!</v>
      </c>
      <c r="G253" s="154" t="e">
        <f t="shared" si="95"/>
        <v>#REF!</v>
      </c>
      <c r="H253" s="112">
        <f>H254+H270+H275+H282</f>
        <v>13988</v>
      </c>
      <c r="I253" s="112">
        <f t="shared" ref="I253:J253" si="125">I254+I270+I275+I282</f>
        <v>5109.8280000000004</v>
      </c>
      <c r="J253" s="112">
        <f t="shared" si="125"/>
        <v>13890</v>
      </c>
      <c r="K253" s="112">
        <f t="shared" si="96"/>
        <v>99.299399485273085</v>
      </c>
    </row>
    <row r="254" spans="1:11" ht="40.5">
      <c r="A254" s="123" t="s">
        <v>565</v>
      </c>
      <c r="B254" s="114" t="s">
        <v>78</v>
      </c>
      <c r="C254" s="114" t="s">
        <v>489</v>
      </c>
      <c r="D254" s="114" t="s">
        <v>219</v>
      </c>
      <c r="E254" s="114"/>
      <c r="F254" s="152">
        <f>F255+F258+F261+F264+F267</f>
        <v>1500</v>
      </c>
      <c r="G254" s="154">
        <f t="shared" si="95"/>
        <v>-240</v>
      </c>
      <c r="H254" s="152">
        <f>H255+H258+H261+H264+H267</f>
        <v>1260</v>
      </c>
      <c r="I254" s="152">
        <f t="shared" ref="I254:J254" si="126">I255+I258+I261+I264+I267</f>
        <v>0</v>
      </c>
      <c r="J254" s="152">
        <f t="shared" si="126"/>
        <v>1200</v>
      </c>
      <c r="K254" s="115">
        <f t="shared" si="96"/>
        <v>95.238095238095227</v>
      </c>
    </row>
    <row r="255" spans="1:11" ht="48">
      <c r="A255" s="153" t="s">
        <v>566</v>
      </c>
      <c r="B255" s="111" t="s">
        <v>78</v>
      </c>
      <c r="C255" s="111" t="s">
        <v>489</v>
      </c>
      <c r="D255" s="111" t="s">
        <v>567</v>
      </c>
      <c r="E255" s="111"/>
      <c r="F255" s="154">
        <f>F256</f>
        <v>200</v>
      </c>
      <c r="G255" s="154">
        <f t="shared" si="95"/>
        <v>0</v>
      </c>
      <c r="H255" s="154">
        <f>H256</f>
        <v>200</v>
      </c>
      <c r="I255" s="154">
        <f t="shared" ref="I255:J256" si="127">I256</f>
        <v>0</v>
      </c>
      <c r="J255" s="154">
        <f t="shared" si="127"/>
        <v>200</v>
      </c>
      <c r="K255" s="112">
        <f t="shared" si="96"/>
        <v>100</v>
      </c>
    </row>
    <row r="256" spans="1:11">
      <c r="A256" s="119" t="s">
        <v>301</v>
      </c>
      <c r="B256" s="120" t="s">
        <v>78</v>
      </c>
      <c r="C256" s="120" t="s">
        <v>489</v>
      </c>
      <c r="D256" s="120" t="s">
        <v>567</v>
      </c>
      <c r="E256" s="120" t="s">
        <v>84</v>
      </c>
      <c r="F256" s="155">
        <f>F257</f>
        <v>200</v>
      </c>
      <c r="G256" s="154">
        <f t="shared" si="95"/>
        <v>0</v>
      </c>
      <c r="H256" s="155">
        <f>H257</f>
        <v>200</v>
      </c>
      <c r="I256" s="155">
        <f t="shared" si="127"/>
        <v>0</v>
      </c>
      <c r="J256" s="155">
        <f t="shared" si="127"/>
        <v>200</v>
      </c>
      <c r="K256" s="121">
        <f t="shared" si="96"/>
        <v>100</v>
      </c>
    </row>
    <row r="257" spans="1:11">
      <c r="A257" s="119" t="s">
        <v>85</v>
      </c>
      <c r="B257" s="120" t="s">
        <v>78</v>
      </c>
      <c r="C257" s="120" t="s">
        <v>489</v>
      </c>
      <c r="D257" s="120" t="s">
        <v>567</v>
      </c>
      <c r="E257" s="120" t="s">
        <v>86</v>
      </c>
      <c r="F257" s="155">
        <v>200</v>
      </c>
      <c r="G257" s="154">
        <f t="shared" si="95"/>
        <v>0</v>
      </c>
      <c r="H257" s="155">
        <v>200</v>
      </c>
      <c r="I257" s="155">
        <v>0</v>
      </c>
      <c r="J257" s="155">
        <v>200</v>
      </c>
      <c r="K257" s="121">
        <f t="shared" si="96"/>
        <v>100</v>
      </c>
    </row>
    <row r="258" spans="1:11" ht="48">
      <c r="A258" s="153" t="s">
        <v>743</v>
      </c>
      <c r="B258" s="111" t="s">
        <v>78</v>
      </c>
      <c r="C258" s="111" t="s">
        <v>489</v>
      </c>
      <c r="D258" s="111" t="s">
        <v>568</v>
      </c>
      <c r="E258" s="111"/>
      <c r="F258" s="154">
        <f>F259</f>
        <v>300</v>
      </c>
      <c r="G258" s="154">
        <f t="shared" si="95"/>
        <v>0</v>
      </c>
      <c r="H258" s="154">
        <f>H259</f>
        <v>300</v>
      </c>
      <c r="I258" s="154">
        <f t="shared" ref="I258:J259" si="128">I259</f>
        <v>0</v>
      </c>
      <c r="J258" s="154">
        <f t="shared" si="128"/>
        <v>300</v>
      </c>
      <c r="K258" s="112">
        <f t="shared" si="96"/>
        <v>100</v>
      </c>
    </row>
    <row r="259" spans="1:11">
      <c r="A259" s="119" t="s">
        <v>301</v>
      </c>
      <c r="B259" s="120" t="s">
        <v>78</v>
      </c>
      <c r="C259" s="120" t="s">
        <v>489</v>
      </c>
      <c r="D259" s="120" t="s">
        <v>568</v>
      </c>
      <c r="E259" s="120" t="s">
        <v>84</v>
      </c>
      <c r="F259" s="155">
        <f>F260</f>
        <v>300</v>
      </c>
      <c r="G259" s="154">
        <f t="shared" si="95"/>
        <v>0</v>
      </c>
      <c r="H259" s="155">
        <f>H260</f>
        <v>300</v>
      </c>
      <c r="I259" s="155">
        <f t="shared" si="128"/>
        <v>0</v>
      </c>
      <c r="J259" s="155">
        <f t="shared" si="128"/>
        <v>300</v>
      </c>
      <c r="K259" s="121">
        <f t="shared" si="96"/>
        <v>100</v>
      </c>
    </row>
    <row r="260" spans="1:11">
      <c r="A260" s="119" t="s">
        <v>85</v>
      </c>
      <c r="B260" s="120" t="s">
        <v>78</v>
      </c>
      <c r="C260" s="120" t="s">
        <v>489</v>
      </c>
      <c r="D260" s="120" t="s">
        <v>568</v>
      </c>
      <c r="E260" s="120" t="s">
        <v>86</v>
      </c>
      <c r="F260" s="155">
        <v>300</v>
      </c>
      <c r="G260" s="154">
        <f t="shared" si="95"/>
        <v>0</v>
      </c>
      <c r="H260" s="155">
        <v>300</v>
      </c>
      <c r="I260" s="155">
        <v>0</v>
      </c>
      <c r="J260" s="155">
        <v>300</v>
      </c>
      <c r="K260" s="121">
        <f t="shared" si="96"/>
        <v>100</v>
      </c>
    </row>
    <row r="261" spans="1:11" ht="36">
      <c r="A261" s="110" t="s">
        <v>569</v>
      </c>
      <c r="B261" s="111" t="s">
        <v>78</v>
      </c>
      <c r="C261" s="111" t="s">
        <v>489</v>
      </c>
      <c r="D261" s="111" t="s">
        <v>570</v>
      </c>
      <c r="E261" s="111"/>
      <c r="F261" s="154">
        <f>F262</f>
        <v>300</v>
      </c>
      <c r="G261" s="154">
        <f t="shared" si="95"/>
        <v>0</v>
      </c>
      <c r="H261" s="154">
        <f>H262</f>
        <v>300</v>
      </c>
      <c r="I261" s="154">
        <f t="shared" ref="I261:J262" si="129">I262</f>
        <v>0</v>
      </c>
      <c r="J261" s="154">
        <f t="shared" si="129"/>
        <v>300</v>
      </c>
      <c r="K261" s="112">
        <f t="shared" si="96"/>
        <v>100</v>
      </c>
    </row>
    <row r="262" spans="1:11">
      <c r="A262" s="119" t="s">
        <v>301</v>
      </c>
      <c r="B262" s="120" t="s">
        <v>78</v>
      </c>
      <c r="C262" s="120" t="s">
        <v>489</v>
      </c>
      <c r="D262" s="120" t="s">
        <v>570</v>
      </c>
      <c r="E262" s="120" t="s">
        <v>84</v>
      </c>
      <c r="F262" s="155">
        <f>F263</f>
        <v>300</v>
      </c>
      <c r="G262" s="154">
        <f t="shared" si="95"/>
        <v>0</v>
      </c>
      <c r="H262" s="155">
        <f>H263</f>
        <v>300</v>
      </c>
      <c r="I262" s="155">
        <f t="shared" si="129"/>
        <v>0</v>
      </c>
      <c r="J262" s="155">
        <f t="shared" si="129"/>
        <v>300</v>
      </c>
      <c r="K262" s="121">
        <f t="shared" si="96"/>
        <v>100</v>
      </c>
    </row>
    <row r="263" spans="1:11">
      <c r="A263" s="119" t="s">
        <v>85</v>
      </c>
      <c r="B263" s="120" t="s">
        <v>78</v>
      </c>
      <c r="C263" s="120" t="s">
        <v>489</v>
      </c>
      <c r="D263" s="120" t="s">
        <v>570</v>
      </c>
      <c r="E263" s="120" t="s">
        <v>86</v>
      </c>
      <c r="F263" s="155">
        <v>300</v>
      </c>
      <c r="G263" s="154">
        <f t="shared" si="95"/>
        <v>0</v>
      </c>
      <c r="H263" s="155">
        <v>300</v>
      </c>
      <c r="I263" s="155">
        <v>0</v>
      </c>
      <c r="J263" s="155">
        <v>300</v>
      </c>
      <c r="K263" s="121">
        <f t="shared" si="96"/>
        <v>100</v>
      </c>
    </row>
    <row r="264" spans="1:11" ht="24">
      <c r="A264" s="110" t="s">
        <v>497</v>
      </c>
      <c r="B264" s="111" t="s">
        <v>78</v>
      </c>
      <c r="C264" s="111" t="s">
        <v>489</v>
      </c>
      <c r="D264" s="111" t="s">
        <v>571</v>
      </c>
      <c r="E264" s="111"/>
      <c r="F264" s="154">
        <f>F265</f>
        <v>400</v>
      </c>
      <c r="G264" s="154">
        <f t="shared" si="95"/>
        <v>0</v>
      </c>
      <c r="H264" s="154">
        <f>H265</f>
        <v>400</v>
      </c>
      <c r="I264" s="154">
        <f t="shared" ref="I264:J265" si="130">I265</f>
        <v>0</v>
      </c>
      <c r="J264" s="154">
        <f t="shared" si="130"/>
        <v>400</v>
      </c>
      <c r="K264" s="112">
        <f t="shared" si="96"/>
        <v>100</v>
      </c>
    </row>
    <row r="265" spans="1:11">
      <c r="A265" s="119" t="s">
        <v>301</v>
      </c>
      <c r="B265" s="120" t="s">
        <v>78</v>
      </c>
      <c r="C265" s="120" t="s">
        <v>489</v>
      </c>
      <c r="D265" s="120" t="s">
        <v>571</v>
      </c>
      <c r="E265" s="120" t="s">
        <v>84</v>
      </c>
      <c r="F265" s="155">
        <f>F266</f>
        <v>400</v>
      </c>
      <c r="G265" s="154">
        <f t="shared" si="95"/>
        <v>0</v>
      </c>
      <c r="H265" s="155">
        <f>H266</f>
        <v>400</v>
      </c>
      <c r="I265" s="155">
        <f t="shared" si="130"/>
        <v>0</v>
      </c>
      <c r="J265" s="155">
        <f t="shared" si="130"/>
        <v>400</v>
      </c>
      <c r="K265" s="121">
        <f t="shared" ref="K265:K328" si="131">J265/H265*100</f>
        <v>100</v>
      </c>
    </row>
    <row r="266" spans="1:11">
      <c r="A266" s="119" t="s">
        <v>85</v>
      </c>
      <c r="B266" s="120" t="s">
        <v>78</v>
      </c>
      <c r="C266" s="120" t="s">
        <v>489</v>
      </c>
      <c r="D266" s="120" t="s">
        <v>571</v>
      </c>
      <c r="E266" s="120" t="s">
        <v>86</v>
      </c>
      <c r="F266" s="155">
        <v>400</v>
      </c>
      <c r="G266" s="154">
        <f t="shared" si="95"/>
        <v>0</v>
      </c>
      <c r="H266" s="155">
        <v>400</v>
      </c>
      <c r="I266" s="155">
        <v>0</v>
      </c>
      <c r="J266" s="155">
        <v>400</v>
      </c>
      <c r="K266" s="121">
        <f t="shared" si="131"/>
        <v>100</v>
      </c>
    </row>
    <row r="267" spans="1:11" ht="24">
      <c r="A267" s="110" t="s">
        <v>572</v>
      </c>
      <c r="B267" s="111" t="s">
        <v>78</v>
      </c>
      <c r="C267" s="111" t="s">
        <v>489</v>
      </c>
      <c r="D267" s="111" t="s">
        <v>573</v>
      </c>
      <c r="E267" s="111"/>
      <c r="F267" s="154">
        <f>F268</f>
        <v>300</v>
      </c>
      <c r="G267" s="154">
        <f t="shared" si="95"/>
        <v>-240</v>
      </c>
      <c r="H267" s="154">
        <f>H268</f>
        <v>60</v>
      </c>
      <c r="I267" s="154">
        <f t="shared" ref="I267:J268" si="132">I268</f>
        <v>0</v>
      </c>
      <c r="J267" s="154">
        <f t="shared" si="132"/>
        <v>0</v>
      </c>
      <c r="K267" s="134">
        <f t="shared" si="131"/>
        <v>0</v>
      </c>
    </row>
    <row r="268" spans="1:11">
      <c r="A268" s="119" t="s">
        <v>301</v>
      </c>
      <c r="B268" s="120" t="s">
        <v>78</v>
      </c>
      <c r="C268" s="120" t="s">
        <v>489</v>
      </c>
      <c r="D268" s="120" t="s">
        <v>573</v>
      </c>
      <c r="E268" s="120" t="s">
        <v>84</v>
      </c>
      <c r="F268" s="155">
        <f>F269</f>
        <v>300</v>
      </c>
      <c r="G268" s="154">
        <f t="shared" si="95"/>
        <v>-240</v>
      </c>
      <c r="H268" s="155">
        <f>H269</f>
        <v>60</v>
      </c>
      <c r="I268" s="155">
        <f t="shared" si="132"/>
        <v>0</v>
      </c>
      <c r="J268" s="155">
        <f t="shared" si="132"/>
        <v>0</v>
      </c>
      <c r="K268" s="135">
        <f t="shared" si="131"/>
        <v>0</v>
      </c>
    </row>
    <row r="269" spans="1:11">
      <c r="A269" s="119" t="s">
        <v>85</v>
      </c>
      <c r="B269" s="120" t="s">
        <v>78</v>
      </c>
      <c r="C269" s="120" t="s">
        <v>489</v>
      </c>
      <c r="D269" s="120" t="s">
        <v>573</v>
      </c>
      <c r="E269" s="120" t="s">
        <v>86</v>
      </c>
      <c r="F269" s="155">
        <v>300</v>
      </c>
      <c r="G269" s="154">
        <f t="shared" ref="G269:G350" si="133">H269-F269</f>
        <v>-240</v>
      </c>
      <c r="H269" s="155">
        <f>300-240</f>
        <v>60</v>
      </c>
      <c r="I269" s="155">
        <v>0</v>
      </c>
      <c r="J269" s="155">
        <v>0</v>
      </c>
      <c r="K269" s="135">
        <f t="shared" si="131"/>
        <v>0</v>
      </c>
    </row>
    <row r="270" spans="1:11" ht="40.5">
      <c r="A270" s="123" t="s">
        <v>699</v>
      </c>
      <c r="B270" s="114" t="s">
        <v>78</v>
      </c>
      <c r="C270" s="114" t="s">
        <v>489</v>
      </c>
      <c r="D270" s="114" t="s">
        <v>242</v>
      </c>
      <c r="E270" s="114"/>
      <c r="F270" s="115">
        <f>F271</f>
        <v>5000</v>
      </c>
      <c r="G270" s="154">
        <f t="shared" si="133"/>
        <v>-1470</v>
      </c>
      <c r="H270" s="115">
        <f>H271</f>
        <v>3530</v>
      </c>
      <c r="I270" s="115">
        <f t="shared" ref="I270:J271" si="134">I271</f>
        <v>2117.64</v>
      </c>
      <c r="J270" s="115">
        <f t="shared" si="134"/>
        <v>3530</v>
      </c>
      <c r="K270" s="115">
        <f t="shared" si="131"/>
        <v>100</v>
      </c>
    </row>
    <row r="271" spans="1:11">
      <c r="A271" s="110" t="s">
        <v>653</v>
      </c>
      <c r="B271" s="111" t="s">
        <v>78</v>
      </c>
      <c r="C271" s="111" t="s">
        <v>489</v>
      </c>
      <c r="D271" s="111" t="s">
        <v>243</v>
      </c>
      <c r="E271" s="120"/>
      <c r="F271" s="112">
        <f>F272</f>
        <v>5000</v>
      </c>
      <c r="G271" s="154">
        <f t="shared" si="133"/>
        <v>-1470</v>
      </c>
      <c r="H271" s="112">
        <f>H272</f>
        <v>3530</v>
      </c>
      <c r="I271" s="112">
        <f t="shared" si="134"/>
        <v>2117.64</v>
      </c>
      <c r="J271" s="112">
        <f t="shared" si="134"/>
        <v>3530</v>
      </c>
      <c r="K271" s="112">
        <f t="shared" si="131"/>
        <v>100</v>
      </c>
    </row>
    <row r="272" spans="1:11">
      <c r="A272" s="140" t="s">
        <v>654</v>
      </c>
      <c r="B272" s="125" t="s">
        <v>78</v>
      </c>
      <c r="C272" s="125" t="s">
        <v>489</v>
      </c>
      <c r="D272" s="133" t="s">
        <v>655</v>
      </c>
      <c r="E272" s="125"/>
      <c r="F272" s="126">
        <f t="shared" ref="F272:J273" si="135">F273</f>
        <v>5000</v>
      </c>
      <c r="G272" s="154">
        <f t="shared" si="133"/>
        <v>-1470</v>
      </c>
      <c r="H272" s="126">
        <f t="shared" si="135"/>
        <v>3530</v>
      </c>
      <c r="I272" s="126">
        <f t="shared" si="135"/>
        <v>2117.64</v>
      </c>
      <c r="J272" s="126">
        <f t="shared" si="135"/>
        <v>3530</v>
      </c>
      <c r="K272" s="126">
        <f t="shared" si="131"/>
        <v>100</v>
      </c>
    </row>
    <row r="273" spans="1:11">
      <c r="A273" s="119" t="s">
        <v>301</v>
      </c>
      <c r="B273" s="120" t="s">
        <v>78</v>
      </c>
      <c r="C273" s="120" t="s">
        <v>489</v>
      </c>
      <c r="D273" s="120" t="s">
        <v>655</v>
      </c>
      <c r="E273" s="120" t="s">
        <v>84</v>
      </c>
      <c r="F273" s="121">
        <f>F274</f>
        <v>5000</v>
      </c>
      <c r="G273" s="154">
        <f t="shared" si="133"/>
        <v>-1470</v>
      </c>
      <c r="H273" s="121">
        <f>H274</f>
        <v>3530</v>
      </c>
      <c r="I273" s="121">
        <f t="shared" si="135"/>
        <v>2117.64</v>
      </c>
      <c r="J273" s="121">
        <f t="shared" si="135"/>
        <v>3530</v>
      </c>
      <c r="K273" s="121">
        <f t="shared" si="131"/>
        <v>100</v>
      </c>
    </row>
    <row r="274" spans="1:11">
      <c r="A274" s="119" t="s">
        <v>85</v>
      </c>
      <c r="B274" s="120" t="s">
        <v>78</v>
      </c>
      <c r="C274" s="120" t="s">
        <v>489</v>
      </c>
      <c r="D274" s="120" t="s">
        <v>655</v>
      </c>
      <c r="E274" s="120" t="s">
        <v>86</v>
      </c>
      <c r="F274" s="121">
        <v>5000</v>
      </c>
      <c r="G274" s="154">
        <f t="shared" si="133"/>
        <v>-1470</v>
      </c>
      <c r="H274" s="121">
        <f>5000-370-1100</f>
        <v>3530</v>
      </c>
      <c r="I274" s="121">
        <v>2117.64</v>
      </c>
      <c r="J274" s="121">
        <f>5000-370-1100</f>
        <v>3530</v>
      </c>
      <c r="K274" s="121">
        <f t="shared" si="131"/>
        <v>100</v>
      </c>
    </row>
    <row r="275" spans="1:11" ht="27">
      <c r="A275" s="123" t="s">
        <v>694</v>
      </c>
      <c r="B275" s="114" t="s">
        <v>78</v>
      </c>
      <c r="C275" s="114" t="s">
        <v>489</v>
      </c>
      <c r="D275" s="114" t="s">
        <v>272</v>
      </c>
      <c r="E275" s="114"/>
      <c r="F275" s="115">
        <f>F279+F276</f>
        <v>3200</v>
      </c>
      <c r="G275" s="154">
        <f t="shared" si="133"/>
        <v>-962</v>
      </c>
      <c r="H275" s="115">
        <f>H279+H276</f>
        <v>2238</v>
      </c>
      <c r="I275" s="115">
        <f t="shared" ref="I275:J275" si="136">I279+I276</f>
        <v>1646.066</v>
      </c>
      <c r="J275" s="115">
        <f t="shared" si="136"/>
        <v>2200</v>
      </c>
      <c r="K275" s="126">
        <f t="shared" si="131"/>
        <v>98.302055406613036</v>
      </c>
    </row>
    <row r="276" spans="1:11">
      <c r="A276" s="141" t="s">
        <v>136</v>
      </c>
      <c r="B276" s="111" t="s">
        <v>78</v>
      </c>
      <c r="C276" s="111" t="s">
        <v>489</v>
      </c>
      <c r="D276" s="111" t="s">
        <v>640</v>
      </c>
      <c r="E276" s="111"/>
      <c r="F276" s="112">
        <f>F277</f>
        <v>200</v>
      </c>
      <c r="G276" s="154">
        <f t="shared" si="133"/>
        <v>0</v>
      </c>
      <c r="H276" s="112">
        <f>H277</f>
        <v>200</v>
      </c>
      <c r="I276" s="134">
        <f t="shared" ref="I276:J277" si="137">I277</f>
        <v>0</v>
      </c>
      <c r="J276" s="112">
        <f t="shared" si="137"/>
        <v>200</v>
      </c>
      <c r="K276" s="112">
        <f t="shared" si="131"/>
        <v>100</v>
      </c>
    </row>
    <row r="277" spans="1:11">
      <c r="A277" s="119" t="s">
        <v>301</v>
      </c>
      <c r="B277" s="120" t="s">
        <v>78</v>
      </c>
      <c r="C277" s="120" t="s">
        <v>489</v>
      </c>
      <c r="D277" s="120" t="s">
        <v>640</v>
      </c>
      <c r="E277" s="120" t="s">
        <v>84</v>
      </c>
      <c r="F277" s="121">
        <f>F278</f>
        <v>200</v>
      </c>
      <c r="G277" s="154">
        <f t="shared" si="133"/>
        <v>0</v>
      </c>
      <c r="H277" s="121">
        <f>H278</f>
        <v>200</v>
      </c>
      <c r="I277" s="135">
        <f t="shared" si="137"/>
        <v>0</v>
      </c>
      <c r="J277" s="121">
        <f t="shared" si="137"/>
        <v>200</v>
      </c>
      <c r="K277" s="121">
        <f t="shared" si="131"/>
        <v>100</v>
      </c>
    </row>
    <row r="278" spans="1:11">
      <c r="A278" s="119" t="s">
        <v>85</v>
      </c>
      <c r="B278" s="120" t="s">
        <v>78</v>
      </c>
      <c r="C278" s="120" t="s">
        <v>489</v>
      </c>
      <c r="D278" s="120" t="s">
        <v>640</v>
      </c>
      <c r="E278" s="120" t="s">
        <v>86</v>
      </c>
      <c r="F278" s="121">
        <v>200</v>
      </c>
      <c r="G278" s="154">
        <f t="shared" si="133"/>
        <v>0</v>
      </c>
      <c r="H278" s="121">
        <v>200</v>
      </c>
      <c r="I278" s="135">
        <v>0</v>
      </c>
      <c r="J278" s="121">
        <v>200</v>
      </c>
      <c r="K278" s="121">
        <f t="shared" si="131"/>
        <v>100</v>
      </c>
    </row>
    <row r="279" spans="1:11">
      <c r="A279" s="110" t="s">
        <v>227</v>
      </c>
      <c r="B279" s="111" t="s">
        <v>78</v>
      </c>
      <c r="C279" s="111" t="s">
        <v>489</v>
      </c>
      <c r="D279" s="111" t="s">
        <v>639</v>
      </c>
      <c r="E279" s="111"/>
      <c r="F279" s="112">
        <f>F280</f>
        <v>3000</v>
      </c>
      <c r="G279" s="154">
        <f t="shared" si="133"/>
        <v>-962</v>
      </c>
      <c r="H279" s="112">
        <f>H280</f>
        <v>2038</v>
      </c>
      <c r="I279" s="112">
        <f t="shared" ref="I279:J280" si="138">I280</f>
        <v>1646.066</v>
      </c>
      <c r="J279" s="112">
        <f t="shared" si="138"/>
        <v>2000</v>
      </c>
      <c r="K279" s="112">
        <f t="shared" si="131"/>
        <v>98.135426889106967</v>
      </c>
    </row>
    <row r="280" spans="1:11">
      <c r="A280" s="119" t="s">
        <v>301</v>
      </c>
      <c r="B280" s="120" t="s">
        <v>78</v>
      </c>
      <c r="C280" s="120" t="s">
        <v>489</v>
      </c>
      <c r="D280" s="120" t="s">
        <v>639</v>
      </c>
      <c r="E280" s="120" t="s">
        <v>84</v>
      </c>
      <c r="F280" s="121">
        <f>F281</f>
        <v>3000</v>
      </c>
      <c r="G280" s="154">
        <f t="shared" si="133"/>
        <v>-962</v>
      </c>
      <c r="H280" s="121">
        <f>H281</f>
        <v>2038</v>
      </c>
      <c r="I280" s="121">
        <f t="shared" si="138"/>
        <v>1646.066</v>
      </c>
      <c r="J280" s="121">
        <f t="shared" si="138"/>
        <v>2000</v>
      </c>
      <c r="K280" s="121">
        <f t="shared" si="131"/>
        <v>98.135426889106967</v>
      </c>
    </row>
    <row r="281" spans="1:11">
      <c r="A281" s="119" t="s">
        <v>85</v>
      </c>
      <c r="B281" s="120" t="s">
        <v>78</v>
      </c>
      <c r="C281" s="120" t="s">
        <v>489</v>
      </c>
      <c r="D281" s="120" t="s">
        <v>639</v>
      </c>
      <c r="E281" s="120" t="s">
        <v>86</v>
      </c>
      <c r="F281" s="121">
        <v>3000</v>
      </c>
      <c r="G281" s="154">
        <f t="shared" si="133"/>
        <v>-962</v>
      </c>
      <c r="H281" s="121">
        <f>3000-962</f>
        <v>2038</v>
      </c>
      <c r="I281" s="121">
        <v>1646.066</v>
      </c>
      <c r="J281" s="121">
        <f>3000-962-38</f>
        <v>2000</v>
      </c>
      <c r="K281" s="121">
        <f t="shared" si="131"/>
        <v>98.135426889106967</v>
      </c>
    </row>
    <row r="282" spans="1:11">
      <c r="A282" s="145" t="s">
        <v>74</v>
      </c>
      <c r="B282" s="125" t="s">
        <v>78</v>
      </c>
      <c r="C282" s="125" t="s">
        <v>489</v>
      </c>
      <c r="D282" s="125" t="s">
        <v>214</v>
      </c>
      <c r="E282" s="125"/>
      <c r="F282" s="126" t="e">
        <f>F283</f>
        <v>#REF!</v>
      </c>
      <c r="G282" s="154" t="e">
        <f t="shared" si="133"/>
        <v>#REF!</v>
      </c>
      <c r="H282" s="126">
        <f>H283</f>
        <v>6960</v>
      </c>
      <c r="I282" s="126">
        <f t="shared" ref="I282:J282" si="139">I283</f>
        <v>1346.1220000000001</v>
      </c>
      <c r="J282" s="126">
        <f t="shared" si="139"/>
        <v>6960</v>
      </c>
      <c r="K282" s="126">
        <f t="shared" si="131"/>
        <v>100</v>
      </c>
    </row>
    <row r="283" spans="1:11">
      <c r="A283" s="110" t="s">
        <v>304</v>
      </c>
      <c r="B283" s="111" t="s">
        <v>78</v>
      </c>
      <c r="C283" s="111" t="s">
        <v>489</v>
      </c>
      <c r="D283" s="111" t="s">
        <v>215</v>
      </c>
      <c r="E283" s="111"/>
      <c r="F283" s="112" t="e">
        <f>F284+#REF!+F287</f>
        <v>#REF!</v>
      </c>
      <c r="G283" s="154" t="e">
        <f t="shared" si="133"/>
        <v>#REF!</v>
      </c>
      <c r="H283" s="112">
        <f>H284+H287+H290</f>
        <v>6960</v>
      </c>
      <c r="I283" s="112">
        <f t="shared" ref="I283:J283" si="140">I284+I287+I290</f>
        <v>1346.1220000000001</v>
      </c>
      <c r="J283" s="112">
        <f t="shared" si="140"/>
        <v>6960</v>
      </c>
      <c r="K283" s="112">
        <f t="shared" si="131"/>
        <v>100</v>
      </c>
    </row>
    <row r="284" spans="1:11" ht="24">
      <c r="A284" s="110" t="s">
        <v>498</v>
      </c>
      <c r="B284" s="111" t="s">
        <v>78</v>
      </c>
      <c r="C284" s="111" t="s">
        <v>489</v>
      </c>
      <c r="D284" s="111" t="s">
        <v>574</v>
      </c>
      <c r="E284" s="111"/>
      <c r="F284" s="134">
        <v>1000</v>
      </c>
      <c r="G284" s="154">
        <f t="shared" si="133"/>
        <v>4000</v>
      </c>
      <c r="H284" s="134">
        <f>H285</f>
        <v>5000</v>
      </c>
      <c r="I284" s="134">
        <f t="shared" ref="I284:J285" si="141">I285</f>
        <v>1249.9970000000001</v>
      </c>
      <c r="J284" s="134">
        <f t="shared" si="141"/>
        <v>5000</v>
      </c>
      <c r="K284" s="112">
        <f t="shared" si="131"/>
        <v>100</v>
      </c>
    </row>
    <row r="285" spans="1:11">
      <c r="A285" s="119" t="s">
        <v>301</v>
      </c>
      <c r="B285" s="120" t="s">
        <v>78</v>
      </c>
      <c r="C285" s="120" t="s">
        <v>489</v>
      </c>
      <c r="D285" s="120" t="s">
        <v>574</v>
      </c>
      <c r="E285" s="137">
        <v>200</v>
      </c>
      <c r="F285" s="135">
        <v>1000</v>
      </c>
      <c r="G285" s="154">
        <f t="shared" si="133"/>
        <v>4000</v>
      </c>
      <c r="H285" s="135">
        <f>H286</f>
        <v>5000</v>
      </c>
      <c r="I285" s="135">
        <f t="shared" si="141"/>
        <v>1249.9970000000001</v>
      </c>
      <c r="J285" s="135">
        <f t="shared" si="141"/>
        <v>5000</v>
      </c>
      <c r="K285" s="121">
        <f t="shared" si="131"/>
        <v>100</v>
      </c>
    </row>
    <row r="286" spans="1:11">
      <c r="A286" s="119" t="s">
        <v>85</v>
      </c>
      <c r="B286" s="120" t="s">
        <v>78</v>
      </c>
      <c r="C286" s="120" t="s">
        <v>489</v>
      </c>
      <c r="D286" s="120" t="s">
        <v>574</v>
      </c>
      <c r="E286" s="120" t="s">
        <v>86</v>
      </c>
      <c r="F286" s="135">
        <v>1000</v>
      </c>
      <c r="G286" s="154">
        <f t="shared" si="133"/>
        <v>4000</v>
      </c>
      <c r="H286" s="135">
        <f>1000+4000</f>
        <v>5000</v>
      </c>
      <c r="I286" s="135">
        <v>1249.9970000000001</v>
      </c>
      <c r="J286" s="135">
        <f>1000+4000</f>
        <v>5000</v>
      </c>
      <c r="K286" s="121">
        <f t="shared" si="131"/>
        <v>100</v>
      </c>
    </row>
    <row r="287" spans="1:11">
      <c r="A287" s="143" t="s">
        <v>348</v>
      </c>
      <c r="B287" s="139" t="s">
        <v>78</v>
      </c>
      <c r="C287" s="139" t="s">
        <v>489</v>
      </c>
      <c r="D287" s="139" t="s">
        <v>678</v>
      </c>
      <c r="E287" s="139"/>
      <c r="F287" s="144">
        <v>1000</v>
      </c>
      <c r="G287" s="154">
        <f t="shared" si="133"/>
        <v>-40</v>
      </c>
      <c r="H287" s="144">
        <f>H288</f>
        <v>960</v>
      </c>
      <c r="I287" s="144">
        <f t="shared" ref="I287:J288" si="142">I288</f>
        <v>96.125</v>
      </c>
      <c r="J287" s="144">
        <f t="shared" si="142"/>
        <v>960</v>
      </c>
      <c r="K287" s="144">
        <f t="shared" si="131"/>
        <v>100</v>
      </c>
    </row>
    <row r="288" spans="1:11">
      <c r="A288" s="119" t="s">
        <v>301</v>
      </c>
      <c r="B288" s="120" t="s">
        <v>78</v>
      </c>
      <c r="C288" s="120" t="s">
        <v>489</v>
      </c>
      <c r="D288" s="120" t="s">
        <v>678</v>
      </c>
      <c r="E288" s="137">
        <v>200</v>
      </c>
      <c r="F288" s="121">
        <v>1000</v>
      </c>
      <c r="G288" s="154">
        <f t="shared" si="133"/>
        <v>-40</v>
      </c>
      <c r="H288" s="121">
        <f>H289</f>
        <v>960</v>
      </c>
      <c r="I288" s="121">
        <f t="shared" si="142"/>
        <v>96.125</v>
      </c>
      <c r="J288" s="121">
        <f t="shared" si="142"/>
        <v>960</v>
      </c>
      <c r="K288" s="121">
        <f t="shared" si="131"/>
        <v>100</v>
      </c>
    </row>
    <row r="289" spans="1:11">
      <c r="A289" s="119" t="s">
        <v>85</v>
      </c>
      <c r="B289" s="120" t="s">
        <v>78</v>
      </c>
      <c r="C289" s="120" t="s">
        <v>489</v>
      </c>
      <c r="D289" s="120" t="s">
        <v>678</v>
      </c>
      <c r="E289" s="120" t="s">
        <v>86</v>
      </c>
      <c r="F289" s="121">
        <v>1000</v>
      </c>
      <c r="G289" s="154">
        <f t="shared" si="133"/>
        <v>-40</v>
      </c>
      <c r="H289" s="121">
        <f>1000-40</f>
        <v>960</v>
      </c>
      <c r="I289" s="121">
        <v>96.125</v>
      </c>
      <c r="J289" s="121">
        <f>1000-40</f>
        <v>960</v>
      </c>
      <c r="K289" s="121">
        <f t="shared" si="131"/>
        <v>100</v>
      </c>
    </row>
    <row r="290" spans="1:11">
      <c r="A290" s="110" t="s">
        <v>739</v>
      </c>
      <c r="B290" s="111" t="s">
        <v>78</v>
      </c>
      <c r="C290" s="111" t="s">
        <v>489</v>
      </c>
      <c r="D290" s="111" t="s">
        <v>740</v>
      </c>
      <c r="E290" s="111"/>
      <c r="F290" s="121"/>
      <c r="G290" s="154"/>
      <c r="H290" s="112">
        <f>H291</f>
        <v>1000</v>
      </c>
      <c r="I290" s="228">
        <f t="shared" ref="I290:J291" si="143">I291</f>
        <v>0</v>
      </c>
      <c r="J290" s="112">
        <f t="shared" si="143"/>
        <v>1000</v>
      </c>
      <c r="K290" s="112">
        <f t="shared" si="131"/>
        <v>100</v>
      </c>
    </row>
    <row r="291" spans="1:11">
      <c r="A291" s="119" t="s">
        <v>95</v>
      </c>
      <c r="B291" s="120" t="s">
        <v>78</v>
      </c>
      <c r="C291" s="120" t="s">
        <v>489</v>
      </c>
      <c r="D291" s="120" t="s">
        <v>740</v>
      </c>
      <c r="E291" s="120" t="s">
        <v>94</v>
      </c>
      <c r="F291" s="121"/>
      <c r="G291" s="154"/>
      <c r="H291" s="121">
        <f>H292</f>
        <v>1000</v>
      </c>
      <c r="I291" s="229">
        <f t="shared" si="143"/>
        <v>0</v>
      </c>
      <c r="J291" s="121">
        <f t="shared" si="143"/>
        <v>1000</v>
      </c>
      <c r="K291" s="121">
        <f t="shared" si="131"/>
        <v>100</v>
      </c>
    </row>
    <row r="292" spans="1:11">
      <c r="A292" s="119" t="s">
        <v>698</v>
      </c>
      <c r="B292" s="120" t="s">
        <v>78</v>
      </c>
      <c r="C292" s="120" t="s">
        <v>489</v>
      </c>
      <c r="D292" s="120" t="s">
        <v>740</v>
      </c>
      <c r="E292" s="120" t="s">
        <v>680</v>
      </c>
      <c r="F292" s="121"/>
      <c r="G292" s="154"/>
      <c r="H292" s="121">
        <v>1000</v>
      </c>
      <c r="I292" s="229">
        <v>0</v>
      </c>
      <c r="J292" s="121">
        <v>1000</v>
      </c>
      <c r="K292" s="121">
        <f t="shared" si="131"/>
        <v>100</v>
      </c>
    </row>
    <row r="293" spans="1:11" s="44" customFormat="1">
      <c r="A293" s="110" t="s">
        <v>375</v>
      </c>
      <c r="B293" s="111" t="s">
        <v>432</v>
      </c>
      <c r="C293" s="111" t="s">
        <v>77</v>
      </c>
      <c r="D293" s="111"/>
      <c r="E293" s="150"/>
      <c r="F293" s="134" t="e">
        <f>F294+F345+F373+F447</f>
        <v>#REF!</v>
      </c>
      <c r="G293" s="154" t="e">
        <f t="shared" si="133"/>
        <v>#REF!</v>
      </c>
      <c r="H293" s="134">
        <f>H294+H345+H373+H447</f>
        <v>1048805.0743100001</v>
      </c>
      <c r="I293" s="134">
        <f>I294+I345+I373+I447</f>
        <v>740063.13279000006</v>
      </c>
      <c r="J293" s="134">
        <f>J294+J345+J373+J447</f>
        <v>985322.94431000005</v>
      </c>
      <c r="K293" s="112">
        <f t="shared" si="131"/>
        <v>93.947194616524484</v>
      </c>
    </row>
    <row r="294" spans="1:11" s="45" customFormat="1">
      <c r="A294" s="110" t="s">
        <v>376</v>
      </c>
      <c r="B294" s="111" t="s">
        <v>432</v>
      </c>
      <c r="C294" s="111" t="s">
        <v>76</v>
      </c>
      <c r="D294" s="125"/>
      <c r="E294" s="125"/>
      <c r="F294" s="112">
        <f>F295+F329</f>
        <v>61095</v>
      </c>
      <c r="G294" s="154">
        <f t="shared" si="133"/>
        <v>76492.554510000016</v>
      </c>
      <c r="H294" s="112">
        <f>H295+H329</f>
        <v>137587.55451000002</v>
      </c>
      <c r="I294" s="112">
        <f t="shared" ref="I294:J294" si="144">I295+I329</f>
        <v>88406.109790000002</v>
      </c>
      <c r="J294" s="112">
        <f t="shared" si="144"/>
        <v>123993.08751000001</v>
      </c>
      <c r="K294" s="112">
        <f t="shared" si="131"/>
        <v>90.119406476541499</v>
      </c>
    </row>
    <row r="295" spans="1:11" s="45" customFormat="1" ht="40.5">
      <c r="A295" s="123" t="s">
        <v>699</v>
      </c>
      <c r="B295" s="114" t="s">
        <v>432</v>
      </c>
      <c r="C295" s="114" t="s">
        <v>76</v>
      </c>
      <c r="D295" s="114" t="s">
        <v>242</v>
      </c>
      <c r="E295" s="125"/>
      <c r="F295" s="115">
        <f>F296+F306+F316</f>
        <v>45795</v>
      </c>
      <c r="G295" s="154">
        <f t="shared" si="133"/>
        <v>19562.30672</v>
      </c>
      <c r="H295" s="115">
        <f>H296+H306+H316</f>
        <v>65357.30672</v>
      </c>
      <c r="I295" s="115">
        <f t="shared" ref="I295:J295" si="145">I296+I306+I316</f>
        <v>17610.785</v>
      </c>
      <c r="J295" s="115">
        <f t="shared" si="145"/>
        <v>51762.839720000004</v>
      </c>
      <c r="K295" s="115">
        <f t="shared" si="131"/>
        <v>79.199774773093651</v>
      </c>
    </row>
    <row r="296" spans="1:11" s="45" customFormat="1">
      <c r="A296" s="110" t="s">
        <v>59</v>
      </c>
      <c r="B296" s="111" t="s">
        <v>432</v>
      </c>
      <c r="C296" s="111" t="s">
        <v>76</v>
      </c>
      <c r="D296" s="111" t="s">
        <v>244</v>
      </c>
      <c r="E296" s="111"/>
      <c r="F296" s="112">
        <f>F297+F300+F303</f>
        <v>9500</v>
      </c>
      <c r="G296" s="154">
        <f t="shared" si="133"/>
        <v>1000</v>
      </c>
      <c r="H296" s="112">
        <f>H297+H300+H303</f>
        <v>10500</v>
      </c>
      <c r="I296" s="112">
        <f t="shared" ref="I296:J296" si="146">I297+I300+I303</f>
        <v>6942.9620000000004</v>
      </c>
      <c r="J296" s="112">
        <f t="shared" si="146"/>
        <v>8905.5329999999994</v>
      </c>
      <c r="K296" s="112">
        <f t="shared" si="131"/>
        <v>84.814599999999999</v>
      </c>
    </row>
    <row r="297" spans="1:11" s="45" customFormat="1">
      <c r="A297" s="124" t="s">
        <v>742</v>
      </c>
      <c r="B297" s="125" t="s">
        <v>432</v>
      </c>
      <c r="C297" s="125" t="s">
        <v>76</v>
      </c>
      <c r="D297" s="125" t="s">
        <v>656</v>
      </c>
      <c r="E297" s="125"/>
      <c r="F297" s="136">
        <f>F298</f>
        <v>5000</v>
      </c>
      <c r="G297" s="154">
        <f t="shared" si="133"/>
        <v>0</v>
      </c>
      <c r="H297" s="136">
        <f>H298</f>
        <v>5000</v>
      </c>
      <c r="I297" s="136">
        <f t="shared" ref="I297:J298" si="147">I298</f>
        <v>4925.3090000000002</v>
      </c>
      <c r="J297" s="136">
        <f t="shared" si="147"/>
        <v>4925.3090000000002</v>
      </c>
      <c r="K297" s="126">
        <f t="shared" si="131"/>
        <v>98.506180000000001</v>
      </c>
    </row>
    <row r="298" spans="1:11" s="45" customFormat="1">
      <c r="A298" s="119" t="s">
        <v>301</v>
      </c>
      <c r="B298" s="120" t="s">
        <v>432</v>
      </c>
      <c r="C298" s="120" t="s">
        <v>76</v>
      </c>
      <c r="D298" s="120" t="s">
        <v>656</v>
      </c>
      <c r="E298" s="120" t="s">
        <v>84</v>
      </c>
      <c r="F298" s="135">
        <f>F299</f>
        <v>5000</v>
      </c>
      <c r="G298" s="154">
        <f t="shared" si="133"/>
        <v>0</v>
      </c>
      <c r="H298" s="135">
        <f>H299</f>
        <v>5000</v>
      </c>
      <c r="I298" s="135">
        <f t="shared" si="147"/>
        <v>4925.3090000000002</v>
      </c>
      <c r="J298" s="135">
        <f t="shared" si="147"/>
        <v>4925.3090000000002</v>
      </c>
      <c r="K298" s="121">
        <f t="shared" si="131"/>
        <v>98.506180000000001</v>
      </c>
    </row>
    <row r="299" spans="1:11" s="45" customFormat="1">
      <c r="A299" s="119" t="s">
        <v>85</v>
      </c>
      <c r="B299" s="120" t="s">
        <v>432</v>
      </c>
      <c r="C299" s="120" t="s">
        <v>76</v>
      </c>
      <c r="D299" s="120" t="s">
        <v>656</v>
      </c>
      <c r="E299" s="120" t="s">
        <v>86</v>
      </c>
      <c r="F299" s="135">
        <v>5000</v>
      </c>
      <c r="G299" s="154">
        <f t="shared" si="133"/>
        <v>0</v>
      </c>
      <c r="H299" s="135">
        <v>5000</v>
      </c>
      <c r="I299" s="135">
        <v>4925.3090000000002</v>
      </c>
      <c r="J299" s="135">
        <v>4925.3090000000002</v>
      </c>
      <c r="K299" s="121">
        <f t="shared" si="131"/>
        <v>98.506180000000001</v>
      </c>
    </row>
    <row r="300" spans="1:11" s="45" customFormat="1">
      <c r="A300" s="124" t="s">
        <v>657</v>
      </c>
      <c r="B300" s="125" t="s">
        <v>432</v>
      </c>
      <c r="C300" s="125" t="s">
        <v>76</v>
      </c>
      <c r="D300" s="125" t="s">
        <v>658</v>
      </c>
      <c r="E300" s="125"/>
      <c r="F300" s="136">
        <f>F301</f>
        <v>500</v>
      </c>
      <c r="G300" s="154">
        <f t="shared" si="133"/>
        <v>1000</v>
      </c>
      <c r="H300" s="136">
        <f>H301</f>
        <v>1500</v>
      </c>
      <c r="I300" s="136">
        <f t="shared" ref="I300:J301" si="148">I301</f>
        <v>1480.2239999999999</v>
      </c>
      <c r="J300" s="136">
        <f t="shared" si="148"/>
        <v>1480.2239999999999</v>
      </c>
      <c r="K300" s="126">
        <f t="shared" si="131"/>
        <v>98.681599999999989</v>
      </c>
    </row>
    <row r="301" spans="1:11" s="45" customFormat="1">
      <c r="A301" s="119" t="s">
        <v>301</v>
      </c>
      <c r="B301" s="120" t="s">
        <v>432</v>
      </c>
      <c r="C301" s="120" t="s">
        <v>76</v>
      </c>
      <c r="D301" s="120" t="s">
        <v>658</v>
      </c>
      <c r="E301" s="120" t="s">
        <v>84</v>
      </c>
      <c r="F301" s="135">
        <f>F302</f>
        <v>500</v>
      </c>
      <c r="G301" s="154">
        <f t="shared" si="133"/>
        <v>1000</v>
      </c>
      <c r="H301" s="135">
        <f>H302</f>
        <v>1500</v>
      </c>
      <c r="I301" s="135">
        <f t="shared" si="148"/>
        <v>1480.2239999999999</v>
      </c>
      <c r="J301" s="135">
        <f t="shared" si="148"/>
        <v>1480.2239999999999</v>
      </c>
      <c r="K301" s="121">
        <f t="shared" si="131"/>
        <v>98.681599999999989</v>
      </c>
    </row>
    <row r="302" spans="1:11" s="45" customFormat="1">
      <c r="A302" s="119" t="s">
        <v>85</v>
      </c>
      <c r="B302" s="120" t="s">
        <v>432</v>
      </c>
      <c r="C302" s="120" t="s">
        <v>76</v>
      </c>
      <c r="D302" s="120" t="s">
        <v>658</v>
      </c>
      <c r="E302" s="120" t="s">
        <v>86</v>
      </c>
      <c r="F302" s="135">
        <v>500</v>
      </c>
      <c r="G302" s="154">
        <f t="shared" si="133"/>
        <v>1000</v>
      </c>
      <c r="H302" s="135">
        <f>500+1000</f>
        <v>1500</v>
      </c>
      <c r="I302" s="135">
        <v>1480.2239999999999</v>
      </c>
      <c r="J302" s="135">
        <v>1480.2239999999999</v>
      </c>
      <c r="K302" s="121">
        <f t="shared" si="131"/>
        <v>98.681599999999989</v>
      </c>
    </row>
    <row r="303" spans="1:11" s="45" customFormat="1">
      <c r="A303" s="124" t="s">
        <v>245</v>
      </c>
      <c r="B303" s="125" t="s">
        <v>432</v>
      </c>
      <c r="C303" s="125" t="s">
        <v>76</v>
      </c>
      <c r="D303" s="125" t="s">
        <v>659</v>
      </c>
      <c r="E303" s="125"/>
      <c r="F303" s="136">
        <f>F304</f>
        <v>4000</v>
      </c>
      <c r="G303" s="154">
        <f t="shared" si="133"/>
        <v>0</v>
      </c>
      <c r="H303" s="136">
        <f>H304</f>
        <v>4000</v>
      </c>
      <c r="I303" s="136">
        <f t="shared" ref="I303:J304" si="149">I304</f>
        <v>537.42899999999997</v>
      </c>
      <c r="J303" s="136">
        <f t="shared" si="149"/>
        <v>2500</v>
      </c>
      <c r="K303" s="126">
        <f t="shared" si="131"/>
        <v>62.5</v>
      </c>
    </row>
    <row r="304" spans="1:11" s="45" customFormat="1">
      <c r="A304" s="119" t="s">
        <v>301</v>
      </c>
      <c r="B304" s="120" t="s">
        <v>432</v>
      </c>
      <c r="C304" s="120" t="s">
        <v>76</v>
      </c>
      <c r="D304" s="120" t="s">
        <v>659</v>
      </c>
      <c r="E304" s="120" t="s">
        <v>84</v>
      </c>
      <c r="F304" s="135">
        <f>F305</f>
        <v>4000</v>
      </c>
      <c r="G304" s="154">
        <f t="shared" si="133"/>
        <v>0</v>
      </c>
      <c r="H304" s="135">
        <f>H305</f>
        <v>4000</v>
      </c>
      <c r="I304" s="135">
        <f t="shared" si="149"/>
        <v>537.42899999999997</v>
      </c>
      <c r="J304" s="135">
        <f t="shared" si="149"/>
        <v>2500</v>
      </c>
      <c r="K304" s="121">
        <f t="shared" si="131"/>
        <v>62.5</v>
      </c>
    </row>
    <row r="305" spans="1:11" s="45" customFormat="1">
      <c r="A305" s="119" t="s">
        <v>85</v>
      </c>
      <c r="B305" s="120" t="s">
        <v>432</v>
      </c>
      <c r="C305" s="120" t="s">
        <v>76</v>
      </c>
      <c r="D305" s="120" t="s">
        <v>659</v>
      </c>
      <c r="E305" s="120" t="s">
        <v>86</v>
      </c>
      <c r="F305" s="135">
        <v>4000</v>
      </c>
      <c r="G305" s="154">
        <f t="shared" si="133"/>
        <v>0</v>
      </c>
      <c r="H305" s="135">
        <v>4000</v>
      </c>
      <c r="I305" s="135">
        <v>537.42899999999997</v>
      </c>
      <c r="J305" s="135">
        <f>4000-1500</f>
        <v>2500</v>
      </c>
      <c r="K305" s="121">
        <f t="shared" si="131"/>
        <v>62.5</v>
      </c>
    </row>
    <row r="306" spans="1:11" s="45" customFormat="1">
      <c r="A306" s="110" t="s">
        <v>504</v>
      </c>
      <c r="B306" s="111" t="s">
        <v>432</v>
      </c>
      <c r="C306" s="111" t="s">
        <v>76</v>
      </c>
      <c r="D306" s="111" t="s">
        <v>505</v>
      </c>
      <c r="E306" s="120"/>
      <c r="F306" s="112">
        <f>F307+F310+F313</f>
        <v>8300</v>
      </c>
      <c r="G306" s="154">
        <f t="shared" si="133"/>
        <v>9100</v>
      </c>
      <c r="H306" s="112">
        <f>H307+H310+H313</f>
        <v>17400</v>
      </c>
      <c r="I306" s="112">
        <f t="shared" ref="I306:J306" si="150">I307+I310+I313</f>
        <v>4146.6469999999999</v>
      </c>
      <c r="J306" s="112">
        <f t="shared" si="150"/>
        <v>15400</v>
      </c>
      <c r="K306" s="112">
        <f t="shared" si="131"/>
        <v>88.505747126436788</v>
      </c>
    </row>
    <row r="307" spans="1:11" s="45" customFormat="1" ht="24">
      <c r="A307" s="124" t="s">
        <v>664</v>
      </c>
      <c r="B307" s="125" t="s">
        <v>432</v>
      </c>
      <c r="C307" s="125" t="s">
        <v>76</v>
      </c>
      <c r="D307" s="125" t="s">
        <v>665</v>
      </c>
      <c r="E307" s="125"/>
      <c r="F307" s="126">
        <f>F308</f>
        <v>1000</v>
      </c>
      <c r="G307" s="154">
        <f t="shared" si="133"/>
        <v>-300</v>
      </c>
      <c r="H307" s="126">
        <f>H308</f>
        <v>700</v>
      </c>
      <c r="I307" s="232">
        <f t="shared" ref="I307:J308" si="151">I308</f>
        <v>0</v>
      </c>
      <c r="J307" s="126">
        <f t="shared" si="151"/>
        <v>700</v>
      </c>
      <c r="K307" s="126">
        <f t="shared" si="131"/>
        <v>100</v>
      </c>
    </row>
    <row r="308" spans="1:11" s="45" customFormat="1">
      <c r="A308" s="119" t="s">
        <v>301</v>
      </c>
      <c r="B308" s="120" t="s">
        <v>432</v>
      </c>
      <c r="C308" s="120" t="s">
        <v>76</v>
      </c>
      <c r="D308" s="120" t="s">
        <v>665</v>
      </c>
      <c r="E308" s="120" t="s">
        <v>84</v>
      </c>
      <c r="F308" s="121">
        <f>F309</f>
        <v>1000</v>
      </c>
      <c r="G308" s="154">
        <f t="shared" si="133"/>
        <v>-300</v>
      </c>
      <c r="H308" s="121">
        <f>H309</f>
        <v>700</v>
      </c>
      <c r="I308" s="229">
        <f t="shared" si="151"/>
        <v>0</v>
      </c>
      <c r="J308" s="121">
        <f t="shared" si="151"/>
        <v>700</v>
      </c>
      <c r="K308" s="121">
        <f t="shared" si="131"/>
        <v>100</v>
      </c>
    </row>
    <row r="309" spans="1:11" s="45" customFormat="1">
      <c r="A309" s="119" t="s">
        <v>85</v>
      </c>
      <c r="B309" s="120" t="s">
        <v>432</v>
      </c>
      <c r="C309" s="120" t="s">
        <v>76</v>
      </c>
      <c r="D309" s="120" t="s">
        <v>665</v>
      </c>
      <c r="E309" s="120" t="s">
        <v>86</v>
      </c>
      <c r="F309" s="121">
        <v>1000</v>
      </c>
      <c r="G309" s="154">
        <f t="shared" si="133"/>
        <v>-300</v>
      </c>
      <c r="H309" s="121">
        <f>1000-300</f>
        <v>700</v>
      </c>
      <c r="I309" s="229">
        <v>0</v>
      </c>
      <c r="J309" s="121">
        <f>1000-300</f>
        <v>700</v>
      </c>
      <c r="K309" s="121">
        <f t="shared" si="131"/>
        <v>100</v>
      </c>
    </row>
    <row r="310" spans="1:11" s="45" customFormat="1" ht="24">
      <c r="A310" s="128" t="s">
        <v>506</v>
      </c>
      <c r="B310" s="125" t="s">
        <v>432</v>
      </c>
      <c r="C310" s="125" t="s">
        <v>76</v>
      </c>
      <c r="D310" s="125" t="s">
        <v>666</v>
      </c>
      <c r="E310" s="125"/>
      <c r="F310" s="126">
        <f>F311</f>
        <v>300</v>
      </c>
      <c r="G310" s="154">
        <f t="shared" si="133"/>
        <v>300</v>
      </c>
      <c r="H310" s="126">
        <f>H311</f>
        <v>600</v>
      </c>
      <c r="I310" s="126">
        <f t="shared" ref="I310:J311" si="152">I311</f>
        <v>300</v>
      </c>
      <c r="J310" s="126">
        <f t="shared" si="152"/>
        <v>600</v>
      </c>
      <c r="K310" s="126">
        <f t="shared" si="131"/>
        <v>100</v>
      </c>
    </row>
    <row r="311" spans="1:11" s="45" customFormat="1">
      <c r="A311" s="119" t="s">
        <v>301</v>
      </c>
      <c r="B311" s="120" t="s">
        <v>432</v>
      </c>
      <c r="C311" s="120" t="s">
        <v>76</v>
      </c>
      <c r="D311" s="120" t="s">
        <v>666</v>
      </c>
      <c r="E311" s="120" t="s">
        <v>84</v>
      </c>
      <c r="F311" s="121">
        <f>F312</f>
        <v>300</v>
      </c>
      <c r="G311" s="154">
        <f t="shared" si="133"/>
        <v>300</v>
      </c>
      <c r="H311" s="121">
        <f>H312</f>
        <v>600</v>
      </c>
      <c r="I311" s="121">
        <f t="shared" si="152"/>
        <v>300</v>
      </c>
      <c r="J311" s="121">
        <f t="shared" si="152"/>
        <v>600</v>
      </c>
      <c r="K311" s="121">
        <f t="shared" si="131"/>
        <v>100</v>
      </c>
    </row>
    <row r="312" spans="1:11" s="45" customFormat="1">
      <c r="A312" s="119" t="s">
        <v>85</v>
      </c>
      <c r="B312" s="120" t="s">
        <v>432</v>
      </c>
      <c r="C312" s="120" t="s">
        <v>76</v>
      </c>
      <c r="D312" s="120" t="s">
        <v>666</v>
      </c>
      <c r="E312" s="120" t="s">
        <v>86</v>
      </c>
      <c r="F312" s="121">
        <v>300</v>
      </c>
      <c r="G312" s="154">
        <f t="shared" si="133"/>
        <v>300</v>
      </c>
      <c r="H312" s="121">
        <f>300+300</f>
        <v>600</v>
      </c>
      <c r="I312" s="121">
        <v>300</v>
      </c>
      <c r="J312" s="121">
        <f>300+300</f>
        <v>600</v>
      </c>
      <c r="K312" s="121">
        <f t="shared" si="131"/>
        <v>100</v>
      </c>
    </row>
    <row r="313" spans="1:11" s="45" customFormat="1">
      <c r="A313" s="128" t="s">
        <v>246</v>
      </c>
      <c r="B313" s="125" t="s">
        <v>432</v>
      </c>
      <c r="C313" s="125" t="s">
        <v>76</v>
      </c>
      <c r="D313" s="133" t="s">
        <v>667</v>
      </c>
      <c r="E313" s="125"/>
      <c r="F313" s="126">
        <f>F314</f>
        <v>7000</v>
      </c>
      <c r="G313" s="154">
        <f t="shared" si="133"/>
        <v>9100</v>
      </c>
      <c r="H313" s="126">
        <f>H314</f>
        <v>16100</v>
      </c>
      <c r="I313" s="126">
        <f t="shared" ref="I313:J314" si="153">I314</f>
        <v>3846.6469999999999</v>
      </c>
      <c r="J313" s="126">
        <f t="shared" si="153"/>
        <v>14100</v>
      </c>
      <c r="K313" s="126">
        <f t="shared" si="131"/>
        <v>87.577639751552795</v>
      </c>
    </row>
    <row r="314" spans="1:11" s="45" customFormat="1">
      <c r="A314" s="119" t="s">
        <v>301</v>
      </c>
      <c r="B314" s="120" t="s">
        <v>432</v>
      </c>
      <c r="C314" s="120" t="s">
        <v>76</v>
      </c>
      <c r="D314" s="120" t="s">
        <v>667</v>
      </c>
      <c r="E314" s="120" t="s">
        <v>84</v>
      </c>
      <c r="F314" s="121">
        <f>F315</f>
        <v>7000</v>
      </c>
      <c r="G314" s="154">
        <f t="shared" si="133"/>
        <v>9100</v>
      </c>
      <c r="H314" s="121">
        <f>H315</f>
        <v>16100</v>
      </c>
      <c r="I314" s="121">
        <f t="shared" si="153"/>
        <v>3846.6469999999999</v>
      </c>
      <c r="J314" s="121">
        <f t="shared" si="153"/>
        <v>14100</v>
      </c>
      <c r="K314" s="121">
        <f t="shared" si="131"/>
        <v>87.577639751552795</v>
      </c>
    </row>
    <row r="315" spans="1:11" s="45" customFormat="1">
      <c r="A315" s="119" t="s">
        <v>85</v>
      </c>
      <c r="B315" s="120" t="s">
        <v>432</v>
      </c>
      <c r="C315" s="120" t="s">
        <v>76</v>
      </c>
      <c r="D315" s="120" t="s">
        <v>667</v>
      </c>
      <c r="E315" s="120" t="s">
        <v>86</v>
      </c>
      <c r="F315" s="121">
        <v>7000</v>
      </c>
      <c r="G315" s="154">
        <f t="shared" si="133"/>
        <v>9100</v>
      </c>
      <c r="H315" s="121">
        <f>7000+9100</f>
        <v>16100</v>
      </c>
      <c r="I315" s="121">
        <v>3846.6469999999999</v>
      </c>
      <c r="J315" s="121">
        <f>7000+9100-2000</f>
        <v>14100</v>
      </c>
      <c r="K315" s="121">
        <f t="shared" si="131"/>
        <v>87.577639751552795</v>
      </c>
    </row>
    <row r="316" spans="1:11" s="45" customFormat="1">
      <c r="A316" s="110" t="s">
        <v>151</v>
      </c>
      <c r="B316" s="111" t="s">
        <v>432</v>
      </c>
      <c r="C316" s="111" t="s">
        <v>76</v>
      </c>
      <c r="D316" s="111" t="s">
        <v>126</v>
      </c>
      <c r="E316" s="120"/>
      <c r="F316" s="112">
        <f>F323+F326</f>
        <v>27995</v>
      </c>
      <c r="G316" s="154">
        <f t="shared" si="133"/>
        <v>9462.3067200000005</v>
      </c>
      <c r="H316" s="112">
        <f>H323+H326+H317+H320</f>
        <v>37457.30672</v>
      </c>
      <c r="I316" s="112">
        <f t="shared" ref="I316:J316" si="154">I323+I326+I317+I320</f>
        <v>6521.1759999999995</v>
      </c>
      <c r="J316" s="112">
        <f t="shared" si="154"/>
        <v>27457.30672</v>
      </c>
      <c r="K316" s="112">
        <f t="shared" si="131"/>
        <v>73.302939064060936</v>
      </c>
    </row>
    <row r="317" spans="1:11" s="45" customFormat="1" ht="60">
      <c r="A317" s="221" t="s">
        <v>749</v>
      </c>
      <c r="B317" s="22" t="s">
        <v>432</v>
      </c>
      <c r="C317" s="22" t="s">
        <v>76</v>
      </c>
      <c r="D317" s="22" t="s">
        <v>762</v>
      </c>
      <c r="E317" s="22"/>
      <c r="F317" s="112"/>
      <c r="G317" s="154"/>
      <c r="H317" s="40">
        <f>H318</f>
        <v>8362.3067200000005</v>
      </c>
      <c r="I317" s="233">
        <f t="shared" ref="I317:J318" si="155">I318</f>
        <v>0</v>
      </c>
      <c r="J317" s="40">
        <f t="shared" si="155"/>
        <v>8362.3067200000005</v>
      </c>
      <c r="K317" s="126">
        <f t="shared" si="131"/>
        <v>100</v>
      </c>
    </row>
    <row r="318" spans="1:11" s="45" customFormat="1">
      <c r="A318" s="72" t="s">
        <v>226</v>
      </c>
      <c r="B318" s="28" t="s">
        <v>432</v>
      </c>
      <c r="C318" s="28" t="s">
        <v>76</v>
      </c>
      <c r="D318" s="28" t="s">
        <v>762</v>
      </c>
      <c r="E318" s="28" t="s">
        <v>434</v>
      </c>
      <c r="F318" s="112"/>
      <c r="G318" s="154"/>
      <c r="H318" s="37">
        <f>H319</f>
        <v>8362.3067200000005</v>
      </c>
      <c r="I318" s="227">
        <f t="shared" si="155"/>
        <v>0</v>
      </c>
      <c r="J318" s="37">
        <f t="shared" si="155"/>
        <v>8362.3067200000005</v>
      </c>
      <c r="K318" s="121">
        <f t="shared" si="131"/>
        <v>100</v>
      </c>
    </row>
    <row r="319" spans="1:11" s="45" customFormat="1">
      <c r="A319" s="72" t="s">
        <v>435</v>
      </c>
      <c r="B319" s="28" t="s">
        <v>432</v>
      </c>
      <c r="C319" s="28" t="s">
        <v>76</v>
      </c>
      <c r="D319" s="28" t="s">
        <v>762</v>
      </c>
      <c r="E319" s="28" t="s">
        <v>436</v>
      </c>
      <c r="F319" s="112"/>
      <c r="G319" s="154"/>
      <c r="H319" s="37">
        <v>8362.3067200000005</v>
      </c>
      <c r="I319" s="227">
        <v>0</v>
      </c>
      <c r="J319" s="37">
        <v>8362.3067200000005</v>
      </c>
      <c r="K319" s="121">
        <f t="shared" si="131"/>
        <v>100</v>
      </c>
    </row>
    <row r="320" spans="1:11" s="45" customFormat="1" ht="24">
      <c r="A320" s="110" t="s">
        <v>636</v>
      </c>
      <c r="B320" s="111" t="s">
        <v>432</v>
      </c>
      <c r="C320" s="111" t="s">
        <v>76</v>
      </c>
      <c r="D320" s="111" t="s">
        <v>764</v>
      </c>
      <c r="E320" s="111"/>
      <c r="F320" s="112"/>
      <c r="G320" s="154"/>
      <c r="H320" s="38">
        <f>H321</f>
        <v>1100</v>
      </c>
      <c r="I320" s="226">
        <f t="shared" ref="I320:J321" si="156">I321</f>
        <v>0</v>
      </c>
      <c r="J320" s="38">
        <f t="shared" si="156"/>
        <v>1100</v>
      </c>
      <c r="K320" s="112">
        <f t="shared" si="131"/>
        <v>100</v>
      </c>
    </row>
    <row r="321" spans="1:11" s="45" customFormat="1">
      <c r="A321" s="119" t="s">
        <v>226</v>
      </c>
      <c r="B321" s="120" t="s">
        <v>432</v>
      </c>
      <c r="C321" s="120" t="s">
        <v>76</v>
      </c>
      <c r="D321" s="120" t="s">
        <v>764</v>
      </c>
      <c r="E321" s="120" t="s">
        <v>434</v>
      </c>
      <c r="F321" s="112"/>
      <c r="G321" s="154"/>
      <c r="H321" s="37">
        <f>H322</f>
        <v>1100</v>
      </c>
      <c r="I321" s="227">
        <f t="shared" si="156"/>
        <v>0</v>
      </c>
      <c r="J321" s="37">
        <f t="shared" si="156"/>
        <v>1100</v>
      </c>
      <c r="K321" s="121">
        <f t="shared" si="131"/>
        <v>100</v>
      </c>
    </row>
    <row r="322" spans="1:11" s="45" customFormat="1">
      <c r="A322" s="119" t="s">
        <v>435</v>
      </c>
      <c r="B322" s="120" t="s">
        <v>432</v>
      </c>
      <c r="C322" s="120" t="s">
        <v>76</v>
      </c>
      <c r="D322" s="120" t="s">
        <v>764</v>
      </c>
      <c r="E322" s="120" t="s">
        <v>436</v>
      </c>
      <c r="F322" s="112"/>
      <c r="G322" s="154"/>
      <c r="H322" s="37">
        <v>1100</v>
      </c>
      <c r="I322" s="227">
        <v>0</v>
      </c>
      <c r="J322" s="37">
        <v>1100</v>
      </c>
      <c r="K322" s="121">
        <f t="shared" si="131"/>
        <v>100</v>
      </c>
    </row>
    <row r="323" spans="1:11" s="45" customFormat="1" ht="24">
      <c r="A323" s="124" t="s">
        <v>451</v>
      </c>
      <c r="B323" s="125" t="s">
        <v>432</v>
      </c>
      <c r="C323" s="125" t="s">
        <v>76</v>
      </c>
      <c r="D323" s="125" t="s">
        <v>507</v>
      </c>
      <c r="E323" s="125"/>
      <c r="F323" s="126">
        <f>F324</f>
        <v>25495</v>
      </c>
      <c r="G323" s="154">
        <f t="shared" si="133"/>
        <v>0</v>
      </c>
      <c r="H323" s="126">
        <f>H324</f>
        <v>25495</v>
      </c>
      <c r="I323" s="126">
        <f t="shared" ref="I323:J324" si="157">I324</f>
        <v>4265.3829999999998</v>
      </c>
      <c r="J323" s="126">
        <f t="shared" si="157"/>
        <v>15495</v>
      </c>
      <c r="K323" s="126">
        <f t="shared" si="131"/>
        <v>60.776622867228866</v>
      </c>
    </row>
    <row r="324" spans="1:11" s="45" customFormat="1" ht="24">
      <c r="A324" s="119" t="s">
        <v>104</v>
      </c>
      <c r="B324" s="120" t="s">
        <v>432</v>
      </c>
      <c r="C324" s="120" t="s">
        <v>76</v>
      </c>
      <c r="D324" s="120" t="s">
        <v>507</v>
      </c>
      <c r="E324" s="120" t="s">
        <v>408</v>
      </c>
      <c r="F324" s="121">
        <f>F325</f>
        <v>25495</v>
      </c>
      <c r="G324" s="154">
        <f t="shared" si="133"/>
        <v>0</v>
      </c>
      <c r="H324" s="121">
        <f>H325</f>
        <v>25495</v>
      </c>
      <c r="I324" s="121">
        <f t="shared" si="157"/>
        <v>4265.3829999999998</v>
      </c>
      <c r="J324" s="121">
        <f t="shared" si="157"/>
        <v>15495</v>
      </c>
      <c r="K324" s="121">
        <f t="shared" si="131"/>
        <v>60.776622867228866</v>
      </c>
    </row>
    <row r="325" spans="1:11" s="45" customFormat="1" ht="24">
      <c r="A325" s="119" t="s">
        <v>139</v>
      </c>
      <c r="B325" s="120" t="s">
        <v>432</v>
      </c>
      <c r="C325" s="120" t="s">
        <v>76</v>
      </c>
      <c r="D325" s="120" t="s">
        <v>507</v>
      </c>
      <c r="E325" s="120" t="s">
        <v>463</v>
      </c>
      <c r="F325" s="121">
        <f>10495+15000</f>
        <v>25495</v>
      </c>
      <c r="G325" s="154">
        <f t="shared" si="133"/>
        <v>0</v>
      </c>
      <c r="H325" s="121">
        <f>10495+15000</f>
        <v>25495</v>
      </c>
      <c r="I325" s="121">
        <v>4265.3829999999998</v>
      </c>
      <c r="J325" s="121">
        <f>10495+15000-10000</f>
        <v>15495</v>
      </c>
      <c r="K325" s="121">
        <f t="shared" si="131"/>
        <v>60.776622867228866</v>
      </c>
    </row>
    <row r="326" spans="1:11" s="45" customFormat="1" ht="24">
      <c r="A326" s="124" t="s">
        <v>159</v>
      </c>
      <c r="B326" s="125" t="s">
        <v>432</v>
      </c>
      <c r="C326" s="125" t="s">
        <v>76</v>
      </c>
      <c r="D326" s="125" t="s">
        <v>671</v>
      </c>
      <c r="E326" s="125"/>
      <c r="F326" s="136">
        <f>F327</f>
        <v>2500</v>
      </c>
      <c r="G326" s="154">
        <f t="shared" si="133"/>
        <v>0</v>
      </c>
      <c r="H326" s="136">
        <f>H327</f>
        <v>2500</v>
      </c>
      <c r="I326" s="136">
        <f t="shared" ref="I326:J327" si="158">I327</f>
        <v>2255.7930000000001</v>
      </c>
      <c r="J326" s="136">
        <f t="shared" si="158"/>
        <v>2500</v>
      </c>
      <c r="K326" s="126">
        <f t="shared" si="131"/>
        <v>100</v>
      </c>
    </row>
    <row r="327" spans="1:11" s="45" customFormat="1">
      <c r="A327" s="119" t="s">
        <v>301</v>
      </c>
      <c r="B327" s="120" t="s">
        <v>432</v>
      </c>
      <c r="C327" s="120" t="s">
        <v>76</v>
      </c>
      <c r="D327" s="120" t="s">
        <v>671</v>
      </c>
      <c r="E327" s="120" t="s">
        <v>84</v>
      </c>
      <c r="F327" s="135">
        <f>F328</f>
        <v>2500</v>
      </c>
      <c r="G327" s="154">
        <f t="shared" si="133"/>
        <v>0</v>
      </c>
      <c r="H327" s="135">
        <f>H328</f>
        <v>2500</v>
      </c>
      <c r="I327" s="135">
        <f t="shared" si="158"/>
        <v>2255.7930000000001</v>
      </c>
      <c r="J327" s="135">
        <f t="shared" si="158"/>
        <v>2500</v>
      </c>
      <c r="K327" s="121">
        <f t="shared" si="131"/>
        <v>100</v>
      </c>
    </row>
    <row r="328" spans="1:11" s="45" customFormat="1">
      <c r="A328" s="119" t="s">
        <v>85</v>
      </c>
      <c r="B328" s="120" t="s">
        <v>432</v>
      </c>
      <c r="C328" s="120" t="s">
        <v>76</v>
      </c>
      <c r="D328" s="120" t="s">
        <v>671</v>
      </c>
      <c r="E328" s="120" t="s">
        <v>86</v>
      </c>
      <c r="F328" s="135">
        <v>2500</v>
      </c>
      <c r="G328" s="154">
        <f t="shared" si="133"/>
        <v>0</v>
      </c>
      <c r="H328" s="135">
        <v>2500</v>
      </c>
      <c r="I328" s="135">
        <v>2255.7930000000001</v>
      </c>
      <c r="J328" s="135">
        <v>2500</v>
      </c>
      <c r="K328" s="121">
        <f t="shared" si="131"/>
        <v>100</v>
      </c>
    </row>
    <row r="329" spans="1:11" s="45" customFormat="1" ht="27">
      <c r="A329" s="123" t="s">
        <v>694</v>
      </c>
      <c r="B329" s="114" t="s">
        <v>432</v>
      </c>
      <c r="C329" s="114" t="s">
        <v>76</v>
      </c>
      <c r="D329" s="114" t="s">
        <v>272</v>
      </c>
      <c r="E329" s="114"/>
      <c r="F329" s="115">
        <f>F330+F342</f>
        <v>15300</v>
      </c>
      <c r="G329" s="154">
        <f t="shared" si="133"/>
        <v>56930.247790000009</v>
      </c>
      <c r="H329" s="115">
        <f>H330+H342+H336+H339+H333</f>
        <v>72230.247790000009</v>
      </c>
      <c r="I329" s="115">
        <f t="shared" ref="I329:J329" si="159">I330+I342+I336+I339+I333</f>
        <v>70795.324789999999</v>
      </c>
      <c r="J329" s="115">
        <f t="shared" si="159"/>
        <v>72230.247790000009</v>
      </c>
      <c r="K329" s="115">
        <f t="shared" ref="K329:K389" si="160">J329/H329*100</f>
        <v>100</v>
      </c>
    </row>
    <row r="330" spans="1:11" s="45" customFormat="1" ht="24">
      <c r="A330" s="110" t="s">
        <v>494</v>
      </c>
      <c r="B330" s="111" t="s">
        <v>432</v>
      </c>
      <c r="C330" s="111" t="s">
        <v>76</v>
      </c>
      <c r="D330" s="111" t="s">
        <v>641</v>
      </c>
      <c r="E330" s="111"/>
      <c r="F330" s="134">
        <f>F331</f>
        <v>2000</v>
      </c>
      <c r="G330" s="154">
        <f t="shared" si="133"/>
        <v>-160</v>
      </c>
      <c r="H330" s="134">
        <f>H331</f>
        <v>1840</v>
      </c>
      <c r="I330" s="134">
        <f t="shared" ref="I330:J331" si="161">I331</f>
        <v>553.32100000000003</v>
      </c>
      <c r="J330" s="134">
        <f t="shared" si="161"/>
        <v>1840</v>
      </c>
      <c r="K330" s="112">
        <f t="shared" si="160"/>
        <v>100</v>
      </c>
    </row>
    <row r="331" spans="1:11" s="45" customFormat="1">
      <c r="A331" s="119" t="s">
        <v>301</v>
      </c>
      <c r="B331" s="120" t="s">
        <v>432</v>
      </c>
      <c r="C331" s="120" t="s">
        <v>76</v>
      </c>
      <c r="D331" s="120" t="s">
        <v>641</v>
      </c>
      <c r="E331" s="120" t="s">
        <v>84</v>
      </c>
      <c r="F331" s="135">
        <f>F332</f>
        <v>2000</v>
      </c>
      <c r="G331" s="154">
        <f t="shared" si="133"/>
        <v>-160</v>
      </c>
      <c r="H331" s="135">
        <f>H332</f>
        <v>1840</v>
      </c>
      <c r="I331" s="135">
        <f t="shared" si="161"/>
        <v>553.32100000000003</v>
      </c>
      <c r="J331" s="135">
        <f t="shared" si="161"/>
        <v>1840</v>
      </c>
      <c r="K331" s="121">
        <f t="shared" si="160"/>
        <v>100</v>
      </c>
    </row>
    <row r="332" spans="1:11" s="45" customFormat="1">
      <c r="A332" s="119" t="s">
        <v>85</v>
      </c>
      <c r="B332" s="120" t="s">
        <v>432</v>
      </c>
      <c r="C332" s="120" t="s">
        <v>76</v>
      </c>
      <c r="D332" s="120" t="s">
        <v>641</v>
      </c>
      <c r="E332" s="120" t="s">
        <v>86</v>
      </c>
      <c r="F332" s="135">
        <v>2000</v>
      </c>
      <c r="G332" s="154">
        <f t="shared" si="133"/>
        <v>-160</v>
      </c>
      <c r="H332" s="135">
        <f>2000-160</f>
        <v>1840</v>
      </c>
      <c r="I332" s="135">
        <v>553.32100000000003</v>
      </c>
      <c r="J332" s="135">
        <f>2000-160</f>
        <v>1840</v>
      </c>
      <c r="K332" s="121">
        <f t="shared" si="160"/>
        <v>100</v>
      </c>
    </row>
    <row r="333" spans="1:11" s="45" customFormat="1">
      <c r="A333" s="141" t="s">
        <v>136</v>
      </c>
      <c r="B333" s="111" t="s">
        <v>432</v>
      </c>
      <c r="C333" s="111" t="s">
        <v>76</v>
      </c>
      <c r="D333" s="111" t="s">
        <v>640</v>
      </c>
      <c r="E333" s="111"/>
      <c r="F333" s="134">
        <v>500</v>
      </c>
      <c r="G333" s="154"/>
      <c r="H333" s="134">
        <f>H334</f>
        <v>160</v>
      </c>
      <c r="I333" s="134">
        <f t="shared" ref="I333:J334" si="162">I334</f>
        <v>50</v>
      </c>
      <c r="J333" s="134">
        <f t="shared" si="162"/>
        <v>160</v>
      </c>
      <c r="K333" s="112">
        <f t="shared" si="160"/>
        <v>100</v>
      </c>
    </row>
    <row r="334" spans="1:11" s="45" customFormat="1">
      <c r="A334" s="119" t="s">
        <v>301</v>
      </c>
      <c r="B334" s="120" t="s">
        <v>432</v>
      </c>
      <c r="C334" s="120" t="s">
        <v>76</v>
      </c>
      <c r="D334" s="120" t="s">
        <v>640</v>
      </c>
      <c r="E334" s="120" t="s">
        <v>84</v>
      </c>
      <c r="F334" s="135">
        <v>500</v>
      </c>
      <c r="G334" s="154"/>
      <c r="H334" s="135">
        <f>H335</f>
        <v>160</v>
      </c>
      <c r="I334" s="135">
        <f t="shared" si="162"/>
        <v>50</v>
      </c>
      <c r="J334" s="135">
        <f t="shared" si="162"/>
        <v>160</v>
      </c>
      <c r="K334" s="121">
        <f t="shared" si="160"/>
        <v>100</v>
      </c>
    </row>
    <row r="335" spans="1:11" s="45" customFormat="1">
      <c r="A335" s="119" t="s">
        <v>85</v>
      </c>
      <c r="B335" s="120" t="s">
        <v>432</v>
      </c>
      <c r="C335" s="120" t="s">
        <v>76</v>
      </c>
      <c r="D335" s="120" t="s">
        <v>640</v>
      </c>
      <c r="E335" s="120" t="s">
        <v>86</v>
      </c>
      <c r="F335" s="135">
        <v>500</v>
      </c>
      <c r="G335" s="154"/>
      <c r="H335" s="135">
        <v>160</v>
      </c>
      <c r="I335" s="135">
        <v>50</v>
      </c>
      <c r="J335" s="135">
        <v>160</v>
      </c>
      <c r="K335" s="121">
        <f t="shared" si="160"/>
        <v>100</v>
      </c>
    </row>
    <row r="336" spans="1:11" s="45" customFormat="1" ht="67.5">
      <c r="A336" s="213" t="s">
        <v>749</v>
      </c>
      <c r="B336" s="47" t="s">
        <v>432</v>
      </c>
      <c r="C336" s="47" t="s">
        <v>76</v>
      </c>
      <c r="D336" s="47" t="s">
        <v>750</v>
      </c>
      <c r="E336" s="47"/>
      <c r="F336" s="135"/>
      <c r="G336" s="154"/>
      <c r="H336" s="215">
        <f>H337</f>
        <v>54171.156999999999</v>
      </c>
      <c r="I336" s="215">
        <f t="shared" ref="I336:J337" si="163">I337</f>
        <v>54171.156999999999</v>
      </c>
      <c r="J336" s="215">
        <f t="shared" si="163"/>
        <v>54171.156999999999</v>
      </c>
      <c r="K336" s="126">
        <f t="shared" si="160"/>
        <v>100</v>
      </c>
    </row>
    <row r="337" spans="1:11" s="45" customFormat="1">
      <c r="A337" s="72" t="s">
        <v>226</v>
      </c>
      <c r="B337" s="28" t="s">
        <v>432</v>
      </c>
      <c r="C337" s="28" t="s">
        <v>76</v>
      </c>
      <c r="D337" s="28" t="s">
        <v>750</v>
      </c>
      <c r="E337" s="28" t="s">
        <v>434</v>
      </c>
      <c r="F337" s="135"/>
      <c r="G337" s="154"/>
      <c r="H337" s="37">
        <f>H338</f>
        <v>54171.156999999999</v>
      </c>
      <c r="I337" s="37">
        <f t="shared" si="163"/>
        <v>54171.156999999999</v>
      </c>
      <c r="J337" s="37">
        <f t="shared" si="163"/>
        <v>54171.156999999999</v>
      </c>
      <c r="K337" s="121">
        <f t="shared" si="160"/>
        <v>100</v>
      </c>
    </row>
    <row r="338" spans="1:11" s="45" customFormat="1">
      <c r="A338" s="72" t="s">
        <v>435</v>
      </c>
      <c r="B338" s="28" t="s">
        <v>432</v>
      </c>
      <c r="C338" s="28" t="s">
        <v>76</v>
      </c>
      <c r="D338" s="28" t="s">
        <v>750</v>
      </c>
      <c r="E338" s="28" t="s">
        <v>436</v>
      </c>
      <c r="F338" s="135"/>
      <c r="G338" s="154"/>
      <c r="H338" s="37">
        <v>54171.156999999999</v>
      </c>
      <c r="I338" s="37">
        <v>54171.156999999999</v>
      </c>
      <c r="J338" s="37">
        <v>54171.156999999999</v>
      </c>
      <c r="K338" s="121">
        <f t="shared" si="160"/>
        <v>100</v>
      </c>
    </row>
    <row r="339" spans="1:11" s="45" customFormat="1" ht="54">
      <c r="A339" s="214" t="s">
        <v>751</v>
      </c>
      <c r="B339" s="47" t="s">
        <v>432</v>
      </c>
      <c r="C339" s="47" t="s">
        <v>76</v>
      </c>
      <c r="D339" s="47" t="s">
        <v>752</v>
      </c>
      <c r="E339" s="47"/>
      <c r="F339" s="135"/>
      <c r="G339" s="154"/>
      <c r="H339" s="215">
        <f>H340</f>
        <v>2759.0907900000002</v>
      </c>
      <c r="I339" s="215">
        <f t="shared" ref="I339:J340" si="164">I340</f>
        <v>2759.0907900000002</v>
      </c>
      <c r="J339" s="215">
        <f t="shared" si="164"/>
        <v>2759.0907900000002</v>
      </c>
      <c r="K339" s="115">
        <f t="shared" si="160"/>
        <v>100</v>
      </c>
    </row>
    <row r="340" spans="1:11" s="45" customFormat="1">
      <c r="A340" s="72" t="s">
        <v>226</v>
      </c>
      <c r="B340" s="28" t="s">
        <v>432</v>
      </c>
      <c r="C340" s="28" t="s">
        <v>76</v>
      </c>
      <c r="D340" s="28" t="s">
        <v>752</v>
      </c>
      <c r="E340" s="28" t="s">
        <v>434</v>
      </c>
      <c r="F340" s="135"/>
      <c r="G340" s="154"/>
      <c r="H340" s="37">
        <f>H341</f>
        <v>2759.0907900000002</v>
      </c>
      <c r="I340" s="37">
        <f t="shared" si="164"/>
        <v>2759.0907900000002</v>
      </c>
      <c r="J340" s="37">
        <f t="shared" si="164"/>
        <v>2759.0907900000002</v>
      </c>
      <c r="K340" s="121">
        <f t="shared" si="160"/>
        <v>100</v>
      </c>
    </row>
    <row r="341" spans="1:11" s="45" customFormat="1">
      <c r="A341" s="72" t="s">
        <v>435</v>
      </c>
      <c r="B341" s="28" t="s">
        <v>432</v>
      </c>
      <c r="C341" s="28" t="s">
        <v>76</v>
      </c>
      <c r="D341" s="28" t="s">
        <v>752</v>
      </c>
      <c r="E341" s="28" t="s">
        <v>436</v>
      </c>
      <c r="F341" s="135"/>
      <c r="G341" s="154"/>
      <c r="H341" s="37">
        <v>2759.0907900000002</v>
      </c>
      <c r="I341" s="37">
        <v>2759.0907900000002</v>
      </c>
      <c r="J341" s="37">
        <v>2759.0907900000002</v>
      </c>
      <c r="K341" s="121">
        <f t="shared" si="160"/>
        <v>100</v>
      </c>
    </row>
    <row r="342" spans="1:11" s="45" customFormat="1" ht="24">
      <c r="A342" s="110" t="s">
        <v>636</v>
      </c>
      <c r="B342" s="111" t="s">
        <v>432</v>
      </c>
      <c r="C342" s="111" t="s">
        <v>76</v>
      </c>
      <c r="D342" s="111" t="s">
        <v>637</v>
      </c>
      <c r="E342" s="111"/>
      <c r="F342" s="112">
        <f>F343</f>
        <v>13300</v>
      </c>
      <c r="G342" s="154">
        <f t="shared" si="133"/>
        <v>0</v>
      </c>
      <c r="H342" s="112">
        <f>H343</f>
        <v>13300</v>
      </c>
      <c r="I342" s="112">
        <f t="shared" ref="I342:J343" si="165">I343</f>
        <v>13261.755999999999</v>
      </c>
      <c r="J342" s="112">
        <f t="shared" si="165"/>
        <v>13300</v>
      </c>
      <c r="K342" s="112">
        <f t="shared" si="160"/>
        <v>100</v>
      </c>
    </row>
    <row r="343" spans="1:11" s="45" customFormat="1">
      <c r="A343" s="119" t="s">
        <v>226</v>
      </c>
      <c r="B343" s="120" t="s">
        <v>432</v>
      </c>
      <c r="C343" s="120" t="s">
        <v>76</v>
      </c>
      <c r="D343" s="120" t="s">
        <v>637</v>
      </c>
      <c r="E343" s="120" t="s">
        <v>434</v>
      </c>
      <c r="F343" s="121">
        <f>F344</f>
        <v>13300</v>
      </c>
      <c r="G343" s="154">
        <f t="shared" si="133"/>
        <v>0</v>
      </c>
      <c r="H343" s="121">
        <f>H344</f>
        <v>13300</v>
      </c>
      <c r="I343" s="121">
        <f t="shared" si="165"/>
        <v>13261.755999999999</v>
      </c>
      <c r="J343" s="121">
        <f t="shared" si="165"/>
        <v>13300</v>
      </c>
      <c r="K343" s="121">
        <f t="shared" si="160"/>
        <v>100</v>
      </c>
    </row>
    <row r="344" spans="1:11" s="45" customFormat="1">
      <c r="A344" s="119" t="s">
        <v>435</v>
      </c>
      <c r="B344" s="120" t="s">
        <v>432</v>
      </c>
      <c r="C344" s="120" t="s">
        <v>76</v>
      </c>
      <c r="D344" s="120" t="s">
        <v>637</v>
      </c>
      <c r="E344" s="120" t="s">
        <v>436</v>
      </c>
      <c r="F344" s="121">
        <v>13300</v>
      </c>
      <c r="G344" s="154">
        <f t="shared" si="133"/>
        <v>0</v>
      </c>
      <c r="H344" s="121">
        <v>13300</v>
      </c>
      <c r="I344" s="121">
        <v>13261.755999999999</v>
      </c>
      <c r="J344" s="121">
        <v>13300</v>
      </c>
      <c r="K344" s="121">
        <f t="shared" si="160"/>
        <v>100</v>
      </c>
    </row>
    <row r="345" spans="1:11" s="183" customFormat="1">
      <c r="A345" s="110" t="s">
        <v>377</v>
      </c>
      <c r="B345" s="111" t="s">
        <v>432</v>
      </c>
      <c r="C345" s="111" t="s">
        <v>491</v>
      </c>
      <c r="D345" s="111"/>
      <c r="E345" s="111"/>
      <c r="F345" s="112" t="e">
        <f>#REF!</f>
        <v>#REF!</v>
      </c>
      <c r="G345" s="154" t="e">
        <f t="shared" si="133"/>
        <v>#REF!</v>
      </c>
      <c r="H345" s="112">
        <f>H346+H350</f>
        <v>109343.54000000001</v>
      </c>
      <c r="I345" s="112">
        <f t="shared" ref="I345:J345" si="166">I346+I350</f>
        <v>50511.435999999994</v>
      </c>
      <c r="J345" s="112">
        <f t="shared" si="166"/>
        <v>68843.540000000008</v>
      </c>
      <c r="K345" s="112">
        <f t="shared" si="160"/>
        <v>62.960774820350615</v>
      </c>
    </row>
    <row r="346" spans="1:11" s="183" customFormat="1" ht="27">
      <c r="A346" s="123" t="s">
        <v>619</v>
      </c>
      <c r="B346" s="114" t="s">
        <v>432</v>
      </c>
      <c r="C346" s="114" t="s">
        <v>491</v>
      </c>
      <c r="D346" s="149" t="s">
        <v>254</v>
      </c>
      <c r="E346" s="111"/>
      <c r="F346" s="112"/>
      <c r="G346" s="154"/>
      <c r="H346" s="115">
        <f>H347</f>
        <v>27113.54</v>
      </c>
      <c r="I346" s="115">
        <f t="shared" ref="I346:J348" si="167">I347</f>
        <v>17007.334999999999</v>
      </c>
      <c r="J346" s="115">
        <f t="shared" si="167"/>
        <v>27113.54</v>
      </c>
      <c r="K346" s="115">
        <f t="shared" si="160"/>
        <v>100</v>
      </c>
    </row>
    <row r="347" spans="1:11" s="183" customFormat="1" ht="24">
      <c r="A347" s="110" t="s">
        <v>759</v>
      </c>
      <c r="B347" s="111" t="s">
        <v>432</v>
      </c>
      <c r="C347" s="111" t="s">
        <v>491</v>
      </c>
      <c r="D347" s="111" t="s">
        <v>760</v>
      </c>
      <c r="E347" s="111"/>
      <c r="F347" s="112"/>
      <c r="G347" s="154"/>
      <c r="H347" s="112">
        <f>H348</f>
        <v>27113.54</v>
      </c>
      <c r="I347" s="112">
        <f t="shared" si="167"/>
        <v>17007.334999999999</v>
      </c>
      <c r="J347" s="112">
        <f t="shared" si="167"/>
        <v>27113.54</v>
      </c>
      <c r="K347" s="112">
        <f t="shared" si="160"/>
        <v>100</v>
      </c>
    </row>
    <row r="348" spans="1:11" s="183" customFormat="1" ht="24">
      <c r="A348" s="119" t="s">
        <v>104</v>
      </c>
      <c r="B348" s="120" t="s">
        <v>432</v>
      </c>
      <c r="C348" s="120" t="s">
        <v>491</v>
      </c>
      <c r="D348" s="120" t="s">
        <v>760</v>
      </c>
      <c r="E348" s="120" t="s">
        <v>408</v>
      </c>
      <c r="F348" s="112"/>
      <c r="G348" s="154"/>
      <c r="H348" s="121">
        <f>H349</f>
        <v>27113.54</v>
      </c>
      <c r="I348" s="121">
        <f t="shared" si="167"/>
        <v>17007.334999999999</v>
      </c>
      <c r="J348" s="121">
        <f t="shared" si="167"/>
        <v>27113.54</v>
      </c>
      <c r="K348" s="121">
        <f t="shared" si="160"/>
        <v>100</v>
      </c>
    </row>
    <row r="349" spans="1:11" s="183" customFormat="1">
      <c r="A349" s="119" t="s">
        <v>105</v>
      </c>
      <c r="B349" s="120" t="s">
        <v>432</v>
      </c>
      <c r="C349" s="120" t="s">
        <v>491</v>
      </c>
      <c r="D349" s="120" t="s">
        <v>760</v>
      </c>
      <c r="E349" s="120" t="s">
        <v>425</v>
      </c>
      <c r="F349" s="112"/>
      <c r="G349" s="154"/>
      <c r="H349" s="121">
        <v>27113.54</v>
      </c>
      <c r="I349" s="121">
        <v>17007.334999999999</v>
      </c>
      <c r="J349" s="121">
        <v>27113.54</v>
      </c>
      <c r="K349" s="121">
        <f t="shared" si="160"/>
        <v>100</v>
      </c>
    </row>
    <row r="350" spans="1:11" s="183" customFormat="1" ht="40.5">
      <c r="A350" s="123" t="s">
        <v>699</v>
      </c>
      <c r="B350" s="114" t="s">
        <v>432</v>
      </c>
      <c r="C350" s="114" t="s">
        <v>491</v>
      </c>
      <c r="D350" s="114" t="s">
        <v>242</v>
      </c>
      <c r="E350" s="125"/>
      <c r="F350" s="115" t="e">
        <f>F351+F360+F366+F369</f>
        <v>#REF!</v>
      </c>
      <c r="G350" s="154" t="e">
        <f t="shared" si="133"/>
        <v>#REF!</v>
      </c>
      <c r="H350" s="115">
        <f>H351+H360+H366+H369</f>
        <v>82230</v>
      </c>
      <c r="I350" s="115">
        <f t="shared" ref="I350:J350" si="168">I351+I360+I366+I369</f>
        <v>33504.100999999995</v>
      </c>
      <c r="J350" s="115">
        <f t="shared" si="168"/>
        <v>41730</v>
      </c>
      <c r="K350" s="115">
        <f t="shared" si="160"/>
        <v>50.747902225465161</v>
      </c>
    </row>
    <row r="351" spans="1:11" s="183" customFormat="1" ht="27">
      <c r="A351" s="123" t="s">
        <v>125</v>
      </c>
      <c r="B351" s="114" t="s">
        <v>432</v>
      </c>
      <c r="C351" s="114" t="s">
        <v>491</v>
      </c>
      <c r="D351" s="114" t="s">
        <v>247</v>
      </c>
      <c r="E351" s="125"/>
      <c r="F351" s="115" t="e">
        <f>F352+#REF!+F357</f>
        <v>#REF!</v>
      </c>
      <c r="G351" s="154" t="e">
        <f t="shared" ref="G351:G410" si="169">H351-F351</f>
        <v>#REF!</v>
      </c>
      <c r="H351" s="115">
        <f>H352+H357</f>
        <v>16100</v>
      </c>
      <c r="I351" s="115">
        <f t="shared" ref="I351:J351" si="170">I352+I357</f>
        <v>14842.824000000001</v>
      </c>
      <c r="J351" s="115">
        <f t="shared" si="170"/>
        <v>16100</v>
      </c>
      <c r="K351" s="115">
        <f t="shared" si="160"/>
        <v>100</v>
      </c>
    </row>
    <row r="352" spans="1:11" s="183" customFormat="1">
      <c r="A352" s="110" t="s">
        <v>660</v>
      </c>
      <c r="B352" s="111" t="s">
        <v>432</v>
      </c>
      <c r="C352" s="111" t="s">
        <v>491</v>
      </c>
      <c r="D352" s="111" t="s">
        <v>661</v>
      </c>
      <c r="E352" s="120"/>
      <c r="F352" s="134">
        <f>F355</f>
        <v>14100</v>
      </c>
      <c r="G352" s="154">
        <f t="shared" si="169"/>
        <v>0</v>
      </c>
      <c r="H352" s="134">
        <f>H353+H355</f>
        <v>14100</v>
      </c>
      <c r="I352" s="134">
        <f t="shared" ref="I352:J352" si="171">I353+I355</f>
        <v>13013.545</v>
      </c>
      <c r="J352" s="134">
        <f t="shared" si="171"/>
        <v>14100</v>
      </c>
      <c r="K352" s="112">
        <f t="shared" si="160"/>
        <v>100</v>
      </c>
    </row>
    <row r="353" spans="1:11" s="183" customFormat="1">
      <c r="A353" s="119" t="s">
        <v>301</v>
      </c>
      <c r="B353" s="138" t="s">
        <v>432</v>
      </c>
      <c r="C353" s="138" t="s">
        <v>491</v>
      </c>
      <c r="D353" s="120" t="s">
        <v>661</v>
      </c>
      <c r="E353" s="120" t="s">
        <v>84</v>
      </c>
      <c r="F353" s="134"/>
      <c r="G353" s="154"/>
      <c r="H353" s="135">
        <f>H354</f>
        <v>3760</v>
      </c>
      <c r="I353" s="135">
        <f t="shared" ref="I353:J353" si="172">I354</f>
        <v>2974.288</v>
      </c>
      <c r="J353" s="135">
        <f t="shared" si="172"/>
        <v>3760</v>
      </c>
      <c r="K353" s="121">
        <f t="shared" si="160"/>
        <v>100</v>
      </c>
    </row>
    <row r="354" spans="1:11" s="183" customFormat="1">
      <c r="A354" s="119" t="s">
        <v>85</v>
      </c>
      <c r="B354" s="120" t="s">
        <v>432</v>
      </c>
      <c r="C354" s="120" t="s">
        <v>491</v>
      </c>
      <c r="D354" s="120" t="s">
        <v>661</v>
      </c>
      <c r="E354" s="120" t="s">
        <v>86</v>
      </c>
      <c r="F354" s="134"/>
      <c r="G354" s="154"/>
      <c r="H354" s="135">
        <v>3760</v>
      </c>
      <c r="I354" s="135">
        <v>2974.288</v>
      </c>
      <c r="J354" s="135">
        <v>3760</v>
      </c>
      <c r="K354" s="121">
        <f t="shared" si="160"/>
        <v>100</v>
      </c>
    </row>
    <row r="355" spans="1:11" s="183" customFormat="1" ht="24">
      <c r="A355" s="119" t="s">
        <v>433</v>
      </c>
      <c r="B355" s="138" t="s">
        <v>432</v>
      </c>
      <c r="C355" s="138" t="s">
        <v>491</v>
      </c>
      <c r="D355" s="120" t="s">
        <v>661</v>
      </c>
      <c r="E355" s="120" t="s">
        <v>434</v>
      </c>
      <c r="F355" s="135">
        <f>F356</f>
        <v>14100</v>
      </c>
      <c r="G355" s="154">
        <f t="shared" si="169"/>
        <v>-3760</v>
      </c>
      <c r="H355" s="135">
        <f>H356</f>
        <v>10340</v>
      </c>
      <c r="I355" s="135">
        <f t="shared" ref="I355:J355" si="173">I356</f>
        <v>10039.257</v>
      </c>
      <c r="J355" s="135">
        <f t="shared" si="173"/>
        <v>10340</v>
      </c>
      <c r="K355" s="121">
        <f t="shared" si="160"/>
        <v>100</v>
      </c>
    </row>
    <row r="356" spans="1:11" s="183" customFormat="1">
      <c r="A356" s="119" t="s">
        <v>435</v>
      </c>
      <c r="B356" s="120" t="s">
        <v>432</v>
      </c>
      <c r="C356" s="120" t="s">
        <v>491</v>
      </c>
      <c r="D356" s="120" t="s">
        <v>661</v>
      </c>
      <c r="E356" s="120" t="s">
        <v>436</v>
      </c>
      <c r="F356" s="135">
        <v>14100</v>
      </c>
      <c r="G356" s="154">
        <f t="shared" si="169"/>
        <v>-3760</v>
      </c>
      <c r="H356" s="135">
        <f>14100-3760</f>
        <v>10340</v>
      </c>
      <c r="I356" s="135">
        <v>10039.257</v>
      </c>
      <c r="J356" s="135">
        <f>14100-3760</f>
        <v>10340</v>
      </c>
      <c r="K356" s="121">
        <f t="shared" si="160"/>
        <v>100</v>
      </c>
    </row>
    <row r="357" spans="1:11" s="183" customFormat="1">
      <c r="A357" s="110" t="s">
        <v>695</v>
      </c>
      <c r="B357" s="111" t="s">
        <v>432</v>
      </c>
      <c r="C357" s="111" t="s">
        <v>491</v>
      </c>
      <c r="D357" s="111" t="s">
        <v>662</v>
      </c>
      <c r="E357" s="111"/>
      <c r="F357" s="134">
        <f>F358</f>
        <v>1000</v>
      </c>
      <c r="G357" s="154">
        <f t="shared" si="169"/>
        <v>1000</v>
      </c>
      <c r="H357" s="134">
        <f>H358</f>
        <v>2000</v>
      </c>
      <c r="I357" s="134">
        <f t="shared" ref="I357:J358" si="174">I358</f>
        <v>1829.279</v>
      </c>
      <c r="J357" s="134">
        <f t="shared" si="174"/>
        <v>2000</v>
      </c>
      <c r="K357" s="112">
        <f t="shared" si="160"/>
        <v>100</v>
      </c>
    </row>
    <row r="358" spans="1:11" s="183" customFormat="1">
      <c r="A358" s="119" t="s">
        <v>301</v>
      </c>
      <c r="B358" s="120" t="s">
        <v>432</v>
      </c>
      <c r="C358" s="120" t="s">
        <v>491</v>
      </c>
      <c r="D358" s="120" t="s">
        <v>662</v>
      </c>
      <c r="E358" s="120" t="s">
        <v>84</v>
      </c>
      <c r="F358" s="135">
        <f>F359</f>
        <v>1000</v>
      </c>
      <c r="G358" s="154">
        <f t="shared" si="169"/>
        <v>1000</v>
      </c>
      <c r="H358" s="135">
        <f>H359</f>
        <v>2000</v>
      </c>
      <c r="I358" s="135">
        <f t="shared" si="174"/>
        <v>1829.279</v>
      </c>
      <c r="J358" s="135">
        <f t="shared" si="174"/>
        <v>2000</v>
      </c>
      <c r="K358" s="121">
        <f t="shared" si="160"/>
        <v>100</v>
      </c>
    </row>
    <row r="359" spans="1:11" s="183" customFormat="1">
      <c r="A359" s="119" t="s">
        <v>85</v>
      </c>
      <c r="B359" s="120" t="s">
        <v>432</v>
      </c>
      <c r="C359" s="120" t="s">
        <v>491</v>
      </c>
      <c r="D359" s="120" t="s">
        <v>662</v>
      </c>
      <c r="E359" s="120" t="s">
        <v>86</v>
      </c>
      <c r="F359" s="135">
        <v>1000</v>
      </c>
      <c r="G359" s="154">
        <f t="shared" si="169"/>
        <v>1000</v>
      </c>
      <c r="H359" s="135">
        <f>1000+1000</f>
        <v>2000</v>
      </c>
      <c r="I359" s="135">
        <v>1829.279</v>
      </c>
      <c r="J359" s="135">
        <f>1000+1000</f>
        <v>2000</v>
      </c>
      <c r="K359" s="121">
        <f t="shared" si="160"/>
        <v>100</v>
      </c>
    </row>
    <row r="360" spans="1:11" s="183" customFormat="1" ht="24">
      <c r="A360" s="110" t="s">
        <v>651</v>
      </c>
      <c r="B360" s="111" t="s">
        <v>432</v>
      </c>
      <c r="C360" s="111" t="s">
        <v>491</v>
      </c>
      <c r="D360" s="111" t="s">
        <v>152</v>
      </c>
      <c r="E360" s="120"/>
      <c r="F360" s="112">
        <f>F361</f>
        <v>69030</v>
      </c>
      <c r="G360" s="154">
        <f t="shared" si="169"/>
        <v>-9100</v>
      </c>
      <c r="H360" s="112">
        <f>H361</f>
        <v>59930</v>
      </c>
      <c r="I360" s="112">
        <f t="shared" ref="I360:J360" si="175">I361</f>
        <v>17666.167999999998</v>
      </c>
      <c r="J360" s="112">
        <f t="shared" si="175"/>
        <v>21930</v>
      </c>
      <c r="K360" s="112">
        <f t="shared" si="160"/>
        <v>36.592691473385621</v>
      </c>
    </row>
    <row r="361" spans="1:11" s="183" customFormat="1" ht="24">
      <c r="A361" s="124" t="s">
        <v>652</v>
      </c>
      <c r="B361" s="125" t="s">
        <v>432</v>
      </c>
      <c r="C361" s="125" t="s">
        <v>491</v>
      </c>
      <c r="D361" s="125" t="s">
        <v>663</v>
      </c>
      <c r="E361" s="139"/>
      <c r="F361" s="126">
        <f>F362+F364</f>
        <v>69030</v>
      </c>
      <c r="G361" s="154">
        <f t="shared" si="169"/>
        <v>-9100</v>
      </c>
      <c r="H361" s="126">
        <f>H362+H364</f>
        <v>59930</v>
      </c>
      <c r="I361" s="126">
        <f t="shared" ref="I361:J361" si="176">I362+I364</f>
        <v>17666.167999999998</v>
      </c>
      <c r="J361" s="126">
        <f t="shared" si="176"/>
        <v>21930</v>
      </c>
      <c r="K361" s="126">
        <f t="shared" si="160"/>
        <v>36.592691473385621</v>
      </c>
    </row>
    <row r="362" spans="1:11" s="183" customFormat="1">
      <c r="A362" s="119" t="s">
        <v>301</v>
      </c>
      <c r="B362" s="120" t="s">
        <v>432</v>
      </c>
      <c r="C362" s="120" t="s">
        <v>491</v>
      </c>
      <c r="D362" s="120" t="s">
        <v>663</v>
      </c>
      <c r="E362" s="120" t="s">
        <v>84</v>
      </c>
      <c r="F362" s="121">
        <f>F363</f>
        <v>24100</v>
      </c>
      <c r="G362" s="154">
        <f t="shared" si="169"/>
        <v>16200</v>
      </c>
      <c r="H362" s="121">
        <f>H363</f>
        <v>40300</v>
      </c>
      <c r="I362" s="121">
        <f t="shared" ref="I362:J362" si="177">I363</f>
        <v>17176.976999999999</v>
      </c>
      <c r="J362" s="121">
        <f t="shared" si="177"/>
        <v>20300</v>
      </c>
      <c r="K362" s="121">
        <f t="shared" si="160"/>
        <v>50.372208436724563</v>
      </c>
    </row>
    <row r="363" spans="1:11" s="183" customFormat="1">
      <c r="A363" s="119" t="s">
        <v>85</v>
      </c>
      <c r="B363" s="120" t="s">
        <v>432</v>
      </c>
      <c r="C363" s="120" t="s">
        <v>491</v>
      </c>
      <c r="D363" s="120" t="s">
        <v>663</v>
      </c>
      <c r="E363" s="120" t="s">
        <v>86</v>
      </c>
      <c r="F363" s="121">
        <f>2000+21000+1000+100</f>
        <v>24100</v>
      </c>
      <c r="G363" s="154">
        <f t="shared" si="169"/>
        <v>16200</v>
      </c>
      <c r="H363" s="121">
        <f>2000+21000+1000+100+1000+5500+9700</f>
        <v>40300</v>
      </c>
      <c r="I363" s="121">
        <v>17176.976999999999</v>
      </c>
      <c r="J363" s="121">
        <f>2000+21000+1000+100+1000+5500+9700-20000</f>
        <v>20300</v>
      </c>
      <c r="K363" s="121">
        <f t="shared" si="160"/>
        <v>50.372208436724563</v>
      </c>
    </row>
    <row r="364" spans="1:11" s="45" customFormat="1" ht="24">
      <c r="A364" s="119" t="s">
        <v>433</v>
      </c>
      <c r="B364" s="138" t="s">
        <v>432</v>
      </c>
      <c r="C364" s="138" t="s">
        <v>491</v>
      </c>
      <c r="D364" s="120" t="s">
        <v>663</v>
      </c>
      <c r="E364" s="120" t="s">
        <v>434</v>
      </c>
      <c r="F364" s="121">
        <f>F365</f>
        <v>44930</v>
      </c>
      <c r="G364" s="154">
        <f t="shared" si="169"/>
        <v>-25300</v>
      </c>
      <c r="H364" s="121">
        <f>H365</f>
        <v>19630</v>
      </c>
      <c r="I364" s="121">
        <f t="shared" ref="I364:J364" si="178">I365</f>
        <v>489.19099999999997</v>
      </c>
      <c r="J364" s="121">
        <f t="shared" si="178"/>
        <v>1630</v>
      </c>
      <c r="K364" s="121">
        <f t="shared" si="160"/>
        <v>8.303616912888435</v>
      </c>
    </row>
    <row r="365" spans="1:11" s="45" customFormat="1">
      <c r="A365" s="119" t="s">
        <v>435</v>
      </c>
      <c r="B365" s="120" t="s">
        <v>432</v>
      </c>
      <c r="C365" s="120" t="s">
        <v>491</v>
      </c>
      <c r="D365" s="120" t="s">
        <v>663</v>
      </c>
      <c r="E365" s="120" t="s">
        <v>436</v>
      </c>
      <c r="F365" s="121">
        <v>44930</v>
      </c>
      <c r="G365" s="154">
        <f t="shared" si="169"/>
        <v>-25300</v>
      </c>
      <c r="H365" s="121">
        <f>44930-1000-5500-9700-9100</f>
        <v>19630</v>
      </c>
      <c r="I365" s="121">
        <v>489.19099999999997</v>
      </c>
      <c r="J365" s="121">
        <f>44930-1000-5500-9700-9100-18000</f>
        <v>1630</v>
      </c>
      <c r="K365" s="121">
        <f t="shared" si="160"/>
        <v>8.303616912888435</v>
      </c>
    </row>
    <row r="366" spans="1:11" s="45" customFormat="1">
      <c r="A366" s="110" t="s">
        <v>153</v>
      </c>
      <c r="B366" s="111" t="s">
        <v>432</v>
      </c>
      <c r="C366" s="111" t="s">
        <v>491</v>
      </c>
      <c r="D366" s="111" t="s">
        <v>668</v>
      </c>
      <c r="E366" s="111"/>
      <c r="F366" s="112">
        <f>F367</f>
        <v>1200</v>
      </c>
      <c r="G366" s="154">
        <f t="shared" si="169"/>
        <v>0</v>
      </c>
      <c r="H366" s="112">
        <f>H367</f>
        <v>1200</v>
      </c>
      <c r="I366" s="228">
        <f t="shared" ref="I366:J367" si="179">I367</f>
        <v>0</v>
      </c>
      <c r="J366" s="112">
        <f t="shared" si="179"/>
        <v>700</v>
      </c>
      <c r="K366" s="112">
        <f t="shared" si="160"/>
        <v>58.333333333333336</v>
      </c>
    </row>
    <row r="367" spans="1:11" s="45" customFormat="1">
      <c r="A367" s="119" t="s">
        <v>301</v>
      </c>
      <c r="B367" s="120" t="s">
        <v>432</v>
      </c>
      <c r="C367" s="120" t="s">
        <v>491</v>
      </c>
      <c r="D367" s="120" t="s">
        <v>668</v>
      </c>
      <c r="E367" s="120" t="s">
        <v>84</v>
      </c>
      <c r="F367" s="121">
        <f>F368</f>
        <v>1200</v>
      </c>
      <c r="G367" s="154">
        <f t="shared" si="169"/>
        <v>0</v>
      </c>
      <c r="H367" s="121">
        <f>H368</f>
        <v>1200</v>
      </c>
      <c r="I367" s="229">
        <f t="shared" si="179"/>
        <v>0</v>
      </c>
      <c r="J367" s="121">
        <f t="shared" si="179"/>
        <v>700</v>
      </c>
      <c r="K367" s="121">
        <f t="shared" si="160"/>
        <v>58.333333333333336</v>
      </c>
    </row>
    <row r="368" spans="1:11" s="45" customFormat="1">
      <c r="A368" s="119" t="s">
        <v>85</v>
      </c>
      <c r="B368" s="120" t="s">
        <v>432</v>
      </c>
      <c r="C368" s="120" t="s">
        <v>491</v>
      </c>
      <c r="D368" s="120" t="s">
        <v>668</v>
      </c>
      <c r="E368" s="120" t="s">
        <v>86</v>
      </c>
      <c r="F368" s="121">
        <v>1200</v>
      </c>
      <c r="G368" s="154">
        <f t="shared" si="169"/>
        <v>0</v>
      </c>
      <c r="H368" s="121">
        <v>1200</v>
      </c>
      <c r="I368" s="229">
        <v>0</v>
      </c>
      <c r="J368" s="121">
        <f>1200-500</f>
        <v>700</v>
      </c>
      <c r="K368" s="121">
        <f t="shared" si="160"/>
        <v>58.333333333333336</v>
      </c>
    </row>
    <row r="369" spans="1:11" s="45" customFormat="1">
      <c r="A369" s="110" t="s">
        <v>450</v>
      </c>
      <c r="B369" s="111" t="s">
        <v>432</v>
      </c>
      <c r="C369" s="111" t="s">
        <v>491</v>
      </c>
      <c r="D369" s="111" t="s">
        <v>126</v>
      </c>
      <c r="E369" s="111"/>
      <c r="F369" s="112">
        <f>F370</f>
        <v>5000</v>
      </c>
      <c r="G369" s="154">
        <f t="shared" si="169"/>
        <v>0</v>
      </c>
      <c r="H369" s="112">
        <f>H370</f>
        <v>5000</v>
      </c>
      <c r="I369" s="112">
        <f t="shared" ref="I369:J371" si="180">I370</f>
        <v>995.10900000000004</v>
      </c>
      <c r="J369" s="112">
        <f t="shared" si="180"/>
        <v>3000</v>
      </c>
      <c r="K369" s="112">
        <f t="shared" si="160"/>
        <v>60</v>
      </c>
    </row>
    <row r="370" spans="1:11" s="45" customFormat="1">
      <c r="A370" s="124" t="s">
        <v>674</v>
      </c>
      <c r="B370" s="125" t="s">
        <v>432</v>
      </c>
      <c r="C370" s="125" t="s">
        <v>491</v>
      </c>
      <c r="D370" s="125" t="s">
        <v>675</v>
      </c>
      <c r="E370" s="125"/>
      <c r="F370" s="126">
        <f>F371</f>
        <v>5000</v>
      </c>
      <c r="G370" s="154">
        <f t="shared" si="169"/>
        <v>0</v>
      </c>
      <c r="H370" s="126">
        <f>H371</f>
        <v>5000</v>
      </c>
      <c r="I370" s="126">
        <f t="shared" si="180"/>
        <v>995.10900000000004</v>
      </c>
      <c r="J370" s="126">
        <f t="shared" si="180"/>
        <v>3000</v>
      </c>
      <c r="K370" s="126">
        <f t="shared" si="160"/>
        <v>60</v>
      </c>
    </row>
    <row r="371" spans="1:11" s="45" customFormat="1">
      <c r="A371" s="119" t="s">
        <v>301</v>
      </c>
      <c r="B371" s="120" t="s">
        <v>432</v>
      </c>
      <c r="C371" s="120" t="s">
        <v>491</v>
      </c>
      <c r="D371" s="120" t="s">
        <v>675</v>
      </c>
      <c r="E371" s="120" t="s">
        <v>84</v>
      </c>
      <c r="F371" s="121">
        <f>F372</f>
        <v>5000</v>
      </c>
      <c r="G371" s="154">
        <f t="shared" si="169"/>
        <v>0</v>
      </c>
      <c r="H371" s="121">
        <f>H372</f>
        <v>5000</v>
      </c>
      <c r="I371" s="121">
        <f t="shared" si="180"/>
        <v>995.10900000000004</v>
      </c>
      <c r="J371" s="121">
        <f t="shared" si="180"/>
        <v>3000</v>
      </c>
      <c r="K371" s="121">
        <f t="shared" si="160"/>
        <v>60</v>
      </c>
    </row>
    <row r="372" spans="1:11" s="45" customFormat="1">
      <c r="A372" s="119" t="s">
        <v>85</v>
      </c>
      <c r="B372" s="120" t="s">
        <v>432</v>
      </c>
      <c r="C372" s="120" t="s">
        <v>491</v>
      </c>
      <c r="D372" s="120" t="s">
        <v>675</v>
      </c>
      <c r="E372" s="120" t="s">
        <v>86</v>
      </c>
      <c r="F372" s="121">
        <v>5000</v>
      </c>
      <c r="G372" s="154">
        <f t="shared" si="169"/>
        <v>0</v>
      </c>
      <c r="H372" s="121">
        <v>5000</v>
      </c>
      <c r="I372" s="121">
        <v>995.10900000000004</v>
      </c>
      <c r="J372" s="121">
        <f>5000-2000</f>
        <v>3000</v>
      </c>
      <c r="K372" s="121">
        <f t="shared" si="160"/>
        <v>60</v>
      </c>
    </row>
    <row r="373" spans="1:11" s="45" customFormat="1">
      <c r="A373" s="110" t="s">
        <v>379</v>
      </c>
      <c r="B373" s="111" t="s">
        <v>432</v>
      </c>
      <c r="C373" s="111" t="s">
        <v>483</v>
      </c>
      <c r="D373" s="120"/>
      <c r="E373" s="120"/>
      <c r="F373" s="112" t="e">
        <f>F374+F405+F416+F435+F442</f>
        <v>#REF!</v>
      </c>
      <c r="G373" s="154" t="e">
        <f t="shared" si="169"/>
        <v>#REF!</v>
      </c>
      <c r="H373" s="112">
        <f>H374+H405+H416+H435+H442</f>
        <v>764223.97679999995</v>
      </c>
      <c r="I373" s="112">
        <f>I374+I405+I416+I435+I442</f>
        <v>573542.35100000002</v>
      </c>
      <c r="J373" s="112">
        <f>J374+J405+J416+J435+J442</f>
        <v>754836.3138</v>
      </c>
      <c r="K373" s="112">
        <f t="shared" si="160"/>
        <v>98.771608417821639</v>
      </c>
    </row>
    <row r="374" spans="1:11" s="45" customFormat="1" ht="27">
      <c r="A374" s="123" t="s">
        <v>619</v>
      </c>
      <c r="B374" s="114" t="s">
        <v>432</v>
      </c>
      <c r="C374" s="114" t="s">
        <v>483</v>
      </c>
      <c r="D374" s="149" t="s">
        <v>254</v>
      </c>
      <c r="E374" s="114"/>
      <c r="F374" s="115" t="e">
        <f>F375+F378+#REF!+F381+F384+F387+F390+F393+F396+F399+F402</f>
        <v>#REF!</v>
      </c>
      <c r="G374" s="154" t="e">
        <f t="shared" si="169"/>
        <v>#REF!</v>
      </c>
      <c r="H374" s="115">
        <f>H375+H378+H381+H384+H387+H390+H393+H396+H399+H402</f>
        <v>349120.99699999997</v>
      </c>
      <c r="I374" s="115">
        <f t="shared" ref="I374:J374" si="181">I375+I378+I381+I384+I387+I390+I393+I396+I399+I402</f>
        <v>289363.304</v>
      </c>
      <c r="J374" s="115">
        <f t="shared" si="181"/>
        <v>346427.00699999998</v>
      </c>
      <c r="K374" s="115">
        <f t="shared" si="160"/>
        <v>99.228350622520708</v>
      </c>
    </row>
    <row r="375" spans="1:11" s="45" customFormat="1">
      <c r="A375" s="141" t="s">
        <v>621</v>
      </c>
      <c r="B375" s="111" t="s">
        <v>432</v>
      </c>
      <c r="C375" s="111" t="s">
        <v>483</v>
      </c>
      <c r="D375" s="111" t="s">
        <v>622</v>
      </c>
      <c r="E375" s="111"/>
      <c r="F375" s="112">
        <f>F376</f>
        <v>31000</v>
      </c>
      <c r="G375" s="154">
        <f t="shared" si="169"/>
        <v>-16315.2</v>
      </c>
      <c r="H375" s="112">
        <f>H376</f>
        <v>14684.8</v>
      </c>
      <c r="I375" s="112">
        <f t="shared" ref="I375:J376" si="182">I376</f>
        <v>9558.5660000000007</v>
      </c>
      <c r="J375" s="112">
        <f t="shared" si="182"/>
        <v>14684.8</v>
      </c>
      <c r="K375" s="112">
        <f t="shared" si="160"/>
        <v>100</v>
      </c>
    </row>
    <row r="376" spans="1:11" s="45" customFormat="1">
      <c r="A376" s="119" t="s">
        <v>301</v>
      </c>
      <c r="B376" s="120" t="s">
        <v>432</v>
      </c>
      <c r="C376" s="120" t="s">
        <v>483</v>
      </c>
      <c r="D376" s="120" t="s">
        <v>622</v>
      </c>
      <c r="E376" s="120" t="s">
        <v>84</v>
      </c>
      <c r="F376" s="121">
        <f>F377</f>
        <v>31000</v>
      </c>
      <c r="G376" s="154">
        <f t="shared" si="169"/>
        <v>-16315.2</v>
      </c>
      <c r="H376" s="121">
        <f>H377</f>
        <v>14684.8</v>
      </c>
      <c r="I376" s="121">
        <f t="shared" si="182"/>
        <v>9558.5660000000007</v>
      </c>
      <c r="J376" s="121">
        <f t="shared" si="182"/>
        <v>14684.8</v>
      </c>
      <c r="K376" s="121">
        <f t="shared" si="160"/>
        <v>100</v>
      </c>
    </row>
    <row r="377" spans="1:11" s="45" customFormat="1">
      <c r="A377" s="119" t="s">
        <v>85</v>
      </c>
      <c r="B377" s="120" t="s">
        <v>432</v>
      </c>
      <c r="C377" s="120" t="s">
        <v>483</v>
      </c>
      <c r="D377" s="120" t="s">
        <v>622</v>
      </c>
      <c r="E377" s="120" t="s">
        <v>86</v>
      </c>
      <c r="F377" s="121">
        <v>31000</v>
      </c>
      <c r="G377" s="154">
        <f t="shared" si="169"/>
        <v>-16315.2</v>
      </c>
      <c r="H377" s="121">
        <f>31000-0.5-6714.7-10000+400</f>
        <v>14684.8</v>
      </c>
      <c r="I377" s="121">
        <v>9558.5660000000007</v>
      </c>
      <c r="J377" s="121">
        <f>31000-0.5-6714.7-10000+400</f>
        <v>14684.8</v>
      </c>
      <c r="K377" s="121">
        <f t="shared" si="160"/>
        <v>100</v>
      </c>
    </row>
    <row r="378" spans="1:11" s="45" customFormat="1">
      <c r="A378" s="110" t="s">
        <v>623</v>
      </c>
      <c r="B378" s="111" t="s">
        <v>432</v>
      </c>
      <c r="C378" s="111" t="s">
        <v>483</v>
      </c>
      <c r="D378" s="111" t="s">
        <v>624</v>
      </c>
      <c r="E378" s="111"/>
      <c r="F378" s="112">
        <f>F379</f>
        <v>2000</v>
      </c>
      <c r="G378" s="154">
        <f t="shared" si="169"/>
        <v>0</v>
      </c>
      <c r="H378" s="112">
        <f>H379</f>
        <v>2000</v>
      </c>
      <c r="I378" s="228">
        <f t="shared" ref="I378:J379" si="183">I379</f>
        <v>0</v>
      </c>
      <c r="J378" s="112">
        <f t="shared" si="183"/>
        <v>2000</v>
      </c>
      <c r="K378" s="112">
        <f t="shared" si="160"/>
        <v>100</v>
      </c>
    </row>
    <row r="379" spans="1:11" s="45" customFormat="1">
      <c r="A379" s="119" t="s">
        <v>301</v>
      </c>
      <c r="B379" s="120" t="s">
        <v>432</v>
      </c>
      <c r="C379" s="120" t="s">
        <v>483</v>
      </c>
      <c r="D379" s="120" t="s">
        <v>624</v>
      </c>
      <c r="E379" s="120" t="s">
        <v>84</v>
      </c>
      <c r="F379" s="121">
        <f>F380</f>
        <v>2000</v>
      </c>
      <c r="G379" s="154">
        <f t="shared" si="169"/>
        <v>0</v>
      </c>
      <c r="H379" s="121">
        <f>H380</f>
        <v>2000</v>
      </c>
      <c r="I379" s="229">
        <f t="shared" si="183"/>
        <v>0</v>
      </c>
      <c r="J379" s="121">
        <f t="shared" si="183"/>
        <v>2000</v>
      </c>
      <c r="K379" s="121">
        <f t="shared" si="160"/>
        <v>100</v>
      </c>
    </row>
    <row r="380" spans="1:11" s="45" customFormat="1">
      <c r="A380" s="119" t="s">
        <v>85</v>
      </c>
      <c r="B380" s="120" t="s">
        <v>432</v>
      </c>
      <c r="C380" s="120" t="s">
        <v>483</v>
      </c>
      <c r="D380" s="120" t="s">
        <v>624</v>
      </c>
      <c r="E380" s="120" t="s">
        <v>86</v>
      </c>
      <c r="F380" s="121">
        <v>2000</v>
      </c>
      <c r="G380" s="154">
        <f t="shared" si="169"/>
        <v>0</v>
      </c>
      <c r="H380" s="121">
        <v>2000</v>
      </c>
      <c r="I380" s="229">
        <v>0</v>
      </c>
      <c r="J380" s="121">
        <v>2000</v>
      </c>
      <c r="K380" s="121">
        <f t="shared" si="160"/>
        <v>100</v>
      </c>
    </row>
    <row r="381" spans="1:11" s="45" customFormat="1">
      <c r="A381" s="141" t="s">
        <v>349</v>
      </c>
      <c r="B381" s="111" t="s">
        <v>432</v>
      </c>
      <c r="C381" s="111" t="s">
        <v>483</v>
      </c>
      <c r="D381" s="111" t="s">
        <v>627</v>
      </c>
      <c r="E381" s="111"/>
      <c r="F381" s="112">
        <f>F382</f>
        <v>2000</v>
      </c>
      <c r="G381" s="154">
        <f t="shared" si="169"/>
        <v>-1000</v>
      </c>
      <c r="H381" s="112">
        <f>H382</f>
        <v>1000</v>
      </c>
      <c r="I381" s="112">
        <f t="shared" ref="I381:J382" si="184">I382</f>
        <v>274.82</v>
      </c>
      <c r="J381" s="112">
        <f t="shared" si="184"/>
        <v>1000</v>
      </c>
      <c r="K381" s="112">
        <f t="shared" si="160"/>
        <v>100</v>
      </c>
    </row>
    <row r="382" spans="1:11" s="45" customFormat="1">
      <c r="A382" s="119" t="s">
        <v>301</v>
      </c>
      <c r="B382" s="120" t="s">
        <v>432</v>
      </c>
      <c r="C382" s="120" t="s">
        <v>483</v>
      </c>
      <c r="D382" s="120" t="s">
        <v>627</v>
      </c>
      <c r="E382" s="120" t="s">
        <v>84</v>
      </c>
      <c r="F382" s="121">
        <f>F383</f>
        <v>2000</v>
      </c>
      <c r="G382" s="154">
        <f t="shared" si="169"/>
        <v>-1000</v>
      </c>
      <c r="H382" s="121">
        <f>H383</f>
        <v>1000</v>
      </c>
      <c r="I382" s="121">
        <f t="shared" si="184"/>
        <v>274.82</v>
      </c>
      <c r="J382" s="121">
        <f t="shared" si="184"/>
        <v>1000</v>
      </c>
      <c r="K382" s="121">
        <f t="shared" si="160"/>
        <v>100</v>
      </c>
    </row>
    <row r="383" spans="1:11" s="45" customFormat="1">
      <c r="A383" s="119" t="s">
        <v>85</v>
      </c>
      <c r="B383" s="120" t="s">
        <v>432</v>
      </c>
      <c r="C383" s="120" t="s">
        <v>483</v>
      </c>
      <c r="D383" s="120" t="s">
        <v>627</v>
      </c>
      <c r="E383" s="120" t="s">
        <v>86</v>
      </c>
      <c r="F383" s="121">
        <v>2000</v>
      </c>
      <c r="G383" s="154">
        <f t="shared" si="169"/>
        <v>-1000</v>
      </c>
      <c r="H383" s="121">
        <f>2000-1000</f>
        <v>1000</v>
      </c>
      <c r="I383" s="121">
        <v>274.82</v>
      </c>
      <c r="J383" s="121">
        <v>1000</v>
      </c>
      <c r="K383" s="121">
        <f t="shared" si="160"/>
        <v>100</v>
      </c>
    </row>
    <row r="384" spans="1:11" s="45" customFormat="1">
      <c r="A384" s="110" t="s">
        <v>350</v>
      </c>
      <c r="B384" s="111" t="s">
        <v>432</v>
      </c>
      <c r="C384" s="111" t="s">
        <v>483</v>
      </c>
      <c r="D384" s="111" t="s">
        <v>628</v>
      </c>
      <c r="E384" s="111"/>
      <c r="F384" s="112">
        <f>F385</f>
        <v>2000</v>
      </c>
      <c r="G384" s="154">
        <f t="shared" si="169"/>
        <v>0</v>
      </c>
      <c r="H384" s="112">
        <f>H385</f>
        <v>2000</v>
      </c>
      <c r="I384" s="112">
        <f t="shared" ref="I384:J385" si="185">I385</f>
        <v>302.53399999999999</v>
      </c>
      <c r="J384" s="112">
        <f t="shared" si="185"/>
        <v>2000</v>
      </c>
      <c r="K384" s="112">
        <f t="shared" si="160"/>
        <v>100</v>
      </c>
    </row>
    <row r="385" spans="1:11" s="45" customFormat="1">
      <c r="A385" s="119" t="s">
        <v>301</v>
      </c>
      <c r="B385" s="120" t="s">
        <v>432</v>
      </c>
      <c r="C385" s="120" t="s">
        <v>483</v>
      </c>
      <c r="D385" s="120" t="s">
        <v>628</v>
      </c>
      <c r="E385" s="120" t="s">
        <v>84</v>
      </c>
      <c r="F385" s="121">
        <f>F386</f>
        <v>2000</v>
      </c>
      <c r="G385" s="154">
        <f t="shared" si="169"/>
        <v>0</v>
      </c>
      <c r="H385" s="121">
        <f>H386</f>
        <v>2000</v>
      </c>
      <c r="I385" s="121">
        <f t="shared" si="185"/>
        <v>302.53399999999999</v>
      </c>
      <c r="J385" s="121">
        <f t="shared" si="185"/>
        <v>2000</v>
      </c>
      <c r="K385" s="121">
        <f t="shared" si="160"/>
        <v>100</v>
      </c>
    </row>
    <row r="386" spans="1:11" s="45" customFormat="1">
      <c r="A386" s="119" t="s">
        <v>85</v>
      </c>
      <c r="B386" s="120" t="s">
        <v>432</v>
      </c>
      <c r="C386" s="120" t="s">
        <v>483</v>
      </c>
      <c r="D386" s="120" t="s">
        <v>628</v>
      </c>
      <c r="E386" s="120" t="s">
        <v>86</v>
      </c>
      <c r="F386" s="121">
        <v>2000</v>
      </c>
      <c r="G386" s="154">
        <f t="shared" si="169"/>
        <v>0</v>
      </c>
      <c r="H386" s="121">
        <v>2000</v>
      </c>
      <c r="I386" s="121">
        <v>302.53399999999999</v>
      </c>
      <c r="J386" s="121">
        <v>2000</v>
      </c>
      <c r="K386" s="121">
        <f t="shared" si="160"/>
        <v>100</v>
      </c>
    </row>
    <row r="387" spans="1:11" s="45" customFormat="1" ht="24">
      <c r="A387" s="141" t="s">
        <v>337</v>
      </c>
      <c r="B387" s="111" t="s">
        <v>432</v>
      </c>
      <c r="C387" s="111" t="s">
        <v>483</v>
      </c>
      <c r="D387" s="111" t="s">
        <v>629</v>
      </c>
      <c r="E387" s="111"/>
      <c r="F387" s="112">
        <f>F388</f>
        <v>2000</v>
      </c>
      <c r="G387" s="154">
        <f t="shared" si="169"/>
        <v>0</v>
      </c>
      <c r="H387" s="112">
        <f>H388</f>
        <v>2000</v>
      </c>
      <c r="I387" s="112">
        <f t="shared" ref="I387:J388" si="186">I388</f>
        <v>1998.9490000000001</v>
      </c>
      <c r="J387" s="112">
        <f t="shared" si="186"/>
        <v>2000</v>
      </c>
      <c r="K387" s="112">
        <f t="shared" si="160"/>
        <v>100</v>
      </c>
    </row>
    <row r="388" spans="1:11" s="45" customFormat="1">
      <c r="A388" s="119" t="s">
        <v>301</v>
      </c>
      <c r="B388" s="120" t="s">
        <v>432</v>
      </c>
      <c r="C388" s="120" t="s">
        <v>483</v>
      </c>
      <c r="D388" s="120" t="s">
        <v>629</v>
      </c>
      <c r="E388" s="120" t="s">
        <v>84</v>
      </c>
      <c r="F388" s="121">
        <f>F389</f>
        <v>2000</v>
      </c>
      <c r="G388" s="154">
        <f t="shared" si="169"/>
        <v>0</v>
      </c>
      <c r="H388" s="121">
        <f>H389</f>
        <v>2000</v>
      </c>
      <c r="I388" s="121">
        <f t="shared" si="186"/>
        <v>1998.9490000000001</v>
      </c>
      <c r="J388" s="121">
        <f t="shared" si="186"/>
        <v>2000</v>
      </c>
      <c r="K388" s="121">
        <f t="shared" si="160"/>
        <v>100</v>
      </c>
    </row>
    <row r="389" spans="1:11" s="45" customFormat="1">
      <c r="A389" s="119" t="s">
        <v>85</v>
      </c>
      <c r="B389" s="120" t="s">
        <v>432</v>
      </c>
      <c r="C389" s="120" t="s">
        <v>483</v>
      </c>
      <c r="D389" s="120" t="s">
        <v>629</v>
      </c>
      <c r="E389" s="120" t="s">
        <v>86</v>
      </c>
      <c r="F389" s="121">
        <v>2000</v>
      </c>
      <c r="G389" s="154">
        <f t="shared" si="169"/>
        <v>0</v>
      </c>
      <c r="H389" s="121">
        <v>2000</v>
      </c>
      <c r="I389" s="121">
        <v>1998.9490000000001</v>
      </c>
      <c r="J389" s="121">
        <v>2000</v>
      </c>
      <c r="K389" s="121">
        <f t="shared" si="160"/>
        <v>100</v>
      </c>
    </row>
    <row r="390" spans="1:11" s="45" customFormat="1">
      <c r="A390" s="141" t="s">
        <v>338</v>
      </c>
      <c r="B390" s="111" t="s">
        <v>432</v>
      </c>
      <c r="C390" s="111" t="s">
        <v>483</v>
      </c>
      <c r="D390" s="150" t="s">
        <v>630</v>
      </c>
      <c r="E390" s="150"/>
      <c r="F390" s="112">
        <f>F391</f>
        <v>2000</v>
      </c>
      <c r="G390" s="154">
        <f t="shared" si="169"/>
        <v>-800</v>
      </c>
      <c r="H390" s="112">
        <f>H391</f>
        <v>1200</v>
      </c>
      <c r="I390" s="112">
        <f t="shared" ref="I390:J391" si="187">I391</f>
        <v>599.16</v>
      </c>
      <c r="J390" s="112">
        <f t="shared" si="187"/>
        <v>1200</v>
      </c>
      <c r="K390" s="112">
        <f t="shared" ref="K390:K453" si="188">J390/H390*100</f>
        <v>100</v>
      </c>
    </row>
    <row r="391" spans="1:11" s="45" customFormat="1">
      <c r="A391" s="119" t="s">
        <v>161</v>
      </c>
      <c r="B391" s="120" t="s">
        <v>432</v>
      </c>
      <c r="C391" s="120" t="s">
        <v>483</v>
      </c>
      <c r="D391" s="137" t="s">
        <v>630</v>
      </c>
      <c r="E391" s="120" t="s">
        <v>84</v>
      </c>
      <c r="F391" s="121">
        <f>F392</f>
        <v>2000</v>
      </c>
      <c r="G391" s="154">
        <f t="shared" si="169"/>
        <v>-800</v>
      </c>
      <c r="H391" s="121">
        <f>H392</f>
        <v>1200</v>
      </c>
      <c r="I391" s="121">
        <f t="shared" si="187"/>
        <v>599.16</v>
      </c>
      <c r="J391" s="121">
        <f t="shared" si="187"/>
        <v>1200</v>
      </c>
      <c r="K391" s="121">
        <f t="shared" si="188"/>
        <v>100</v>
      </c>
    </row>
    <row r="392" spans="1:11" s="45" customFormat="1">
      <c r="A392" s="119" t="s">
        <v>85</v>
      </c>
      <c r="B392" s="120" t="s">
        <v>432</v>
      </c>
      <c r="C392" s="120" t="s">
        <v>483</v>
      </c>
      <c r="D392" s="137" t="s">
        <v>630</v>
      </c>
      <c r="E392" s="120" t="s">
        <v>86</v>
      </c>
      <c r="F392" s="121">
        <v>2000</v>
      </c>
      <c r="G392" s="154">
        <f t="shared" si="169"/>
        <v>-800</v>
      </c>
      <c r="H392" s="121">
        <f>2000-800</f>
        <v>1200</v>
      </c>
      <c r="I392" s="121">
        <v>599.16</v>
      </c>
      <c r="J392" s="121">
        <v>1200</v>
      </c>
      <c r="K392" s="121">
        <f t="shared" si="188"/>
        <v>100</v>
      </c>
    </row>
    <row r="393" spans="1:11" s="45" customFormat="1">
      <c r="A393" s="110" t="s">
        <v>241</v>
      </c>
      <c r="B393" s="111" t="s">
        <v>432</v>
      </c>
      <c r="C393" s="111" t="s">
        <v>483</v>
      </c>
      <c r="D393" s="111" t="s">
        <v>631</v>
      </c>
      <c r="E393" s="111"/>
      <c r="F393" s="112">
        <f>F394</f>
        <v>80000</v>
      </c>
      <c r="G393" s="154">
        <f t="shared" si="169"/>
        <v>2362</v>
      </c>
      <c r="H393" s="112">
        <f>H394</f>
        <v>82362</v>
      </c>
      <c r="I393" s="112">
        <f t="shared" ref="I393:J394" si="189">I394</f>
        <v>70817.471999999994</v>
      </c>
      <c r="J393" s="112">
        <f t="shared" si="189"/>
        <v>82362</v>
      </c>
      <c r="K393" s="112">
        <f t="shared" si="188"/>
        <v>100</v>
      </c>
    </row>
    <row r="394" spans="1:11" s="45" customFormat="1">
      <c r="A394" s="119" t="s">
        <v>301</v>
      </c>
      <c r="B394" s="120" t="s">
        <v>432</v>
      </c>
      <c r="C394" s="120" t="s">
        <v>483</v>
      </c>
      <c r="D394" s="120" t="s">
        <v>631</v>
      </c>
      <c r="E394" s="120" t="s">
        <v>84</v>
      </c>
      <c r="F394" s="121">
        <f>F395</f>
        <v>80000</v>
      </c>
      <c r="G394" s="154">
        <f t="shared" si="169"/>
        <v>2362</v>
      </c>
      <c r="H394" s="121">
        <f>H395</f>
        <v>82362</v>
      </c>
      <c r="I394" s="121">
        <f t="shared" si="189"/>
        <v>70817.471999999994</v>
      </c>
      <c r="J394" s="121">
        <f t="shared" si="189"/>
        <v>82362</v>
      </c>
      <c r="K394" s="121">
        <f t="shared" si="188"/>
        <v>100</v>
      </c>
    </row>
    <row r="395" spans="1:11" s="45" customFormat="1">
      <c r="A395" s="119" t="s">
        <v>85</v>
      </c>
      <c r="B395" s="120" t="s">
        <v>432</v>
      </c>
      <c r="C395" s="120" t="s">
        <v>483</v>
      </c>
      <c r="D395" s="120" t="s">
        <v>631</v>
      </c>
      <c r="E395" s="120" t="s">
        <v>86</v>
      </c>
      <c r="F395" s="121">
        <v>80000</v>
      </c>
      <c r="G395" s="154">
        <f t="shared" si="169"/>
        <v>2362</v>
      </c>
      <c r="H395" s="121">
        <f>80000+1400+962</f>
        <v>82362</v>
      </c>
      <c r="I395" s="121">
        <v>70817.471999999994</v>
      </c>
      <c r="J395" s="121">
        <f>80000+1400+962</f>
        <v>82362</v>
      </c>
      <c r="K395" s="121">
        <f t="shared" si="188"/>
        <v>100</v>
      </c>
    </row>
    <row r="396" spans="1:11" s="45" customFormat="1">
      <c r="A396" s="110" t="s">
        <v>339</v>
      </c>
      <c r="B396" s="111" t="s">
        <v>432</v>
      </c>
      <c r="C396" s="111" t="s">
        <v>483</v>
      </c>
      <c r="D396" s="111" t="s">
        <v>632</v>
      </c>
      <c r="E396" s="111"/>
      <c r="F396" s="112">
        <f>F397</f>
        <v>26161</v>
      </c>
      <c r="G396" s="154">
        <f t="shared" si="169"/>
        <v>0</v>
      </c>
      <c r="H396" s="112">
        <f>H397</f>
        <v>26161</v>
      </c>
      <c r="I396" s="112">
        <f t="shared" ref="I396:J397" si="190">I397</f>
        <v>25545.143</v>
      </c>
      <c r="J396" s="112">
        <f t="shared" si="190"/>
        <v>26161</v>
      </c>
      <c r="K396" s="112">
        <f t="shared" si="188"/>
        <v>100</v>
      </c>
    </row>
    <row r="397" spans="1:11" s="45" customFormat="1">
      <c r="A397" s="119" t="s">
        <v>301</v>
      </c>
      <c r="B397" s="120" t="s">
        <v>432</v>
      </c>
      <c r="C397" s="120" t="s">
        <v>483</v>
      </c>
      <c r="D397" s="120" t="s">
        <v>632</v>
      </c>
      <c r="E397" s="120" t="s">
        <v>84</v>
      </c>
      <c r="F397" s="121">
        <f>F398</f>
        <v>26161</v>
      </c>
      <c r="G397" s="154">
        <f t="shared" si="169"/>
        <v>0</v>
      </c>
      <c r="H397" s="121">
        <f>H398</f>
        <v>26161</v>
      </c>
      <c r="I397" s="121">
        <f t="shared" si="190"/>
        <v>25545.143</v>
      </c>
      <c r="J397" s="121">
        <f t="shared" si="190"/>
        <v>26161</v>
      </c>
      <c r="K397" s="121">
        <f t="shared" si="188"/>
        <v>100</v>
      </c>
    </row>
    <row r="398" spans="1:11" s="45" customFormat="1">
      <c r="A398" s="119" t="s">
        <v>85</v>
      </c>
      <c r="B398" s="120" t="s">
        <v>432</v>
      </c>
      <c r="C398" s="120" t="s">
        <v>483</v>
      </c>
      <c r="D398" s="120" t="s">
        <v>632</v>
      </c>
      <c r="E398" s="120" t="s">
        <v>86</v>
      </c>
      <c r="F398" s="121">
        <v>26161</v>
      </c>
      <c r="G398" s="154">
        <f t="shared" si="169"/>
        <v>0</v>
      </c>
      <c r="H398" s="121">
        <v>26161</v>
      </c>
      <c r="I398" s="121">
        <v>25545.143</v>
      </c>
      <c r="J398" s="121">
        <v>26161</v>
      </c>
      <c r="K398" s="121">
        <f t="shared" si="188"/>
        <v>100</v>
      </c>
    </row>
    <row r="399" spans="1:11" s="45" customFormat="1" ht="24">
      <c r="A399" s="110" t="s">
        <v>260</v>
      </c>
      <c r="B399" s="111" t="s">
        <v>432</v>
      </c>
      <c r="C399" s="111" t="s">
        <v>483</v>
      </c>
      <c r="D399" s="111" t="s">
        <v>633</v>
      </c>
      <c r="E399" s="111"/>
      <c r="F399" s="112">
        <f>F400</f>
        <v>171000</v>
      </c>
      <c r="G399" s="154">
        <f t="shared" si="169"/>
        <v>34791.196999999986</v>
      </c>
      <c r="H399" s="112">
        <f>H400</f>
        <v>205791.19699999999</v>
      </c>
      <c r="I399" s="112">
        <f t="shared" ref="I399:J400" si="191">I400</f>
        <v>168456.51500000001</v>
      </c>
      <c r="J399" s="112">
        <f t="shared" si="191"/>
        <v>203097.20699999999</v>
      </c>
      <c r="K399" s="112">
        <f t="shared" si="188"/>
        <v>98.69091096253257</v>
      </c>
    </row>
    <row r="400" spans="1:11" s="45" customFormat="1" ht="24">
      <c r="A400" s="119" t="s">
        <v>104</v>
      </c>
      <c r="B400" s="120" t="s">
        <v>432</v>
      </c>
      <c r="C400" s="120" t="s">
        <v>483</v>
      </c>
      <c r="D400" s="120" t="s">
        <v>633</v>
      </c>
      <c r="E400" s="120" t="s">
        <v>408</v>
      </c>
      <c r="F400" s="121">
        <f>F401</f>
        <v>171000</v>
      </c>
      <c r="G400" s="155">
        <f t="shared" si="169"/>
        <v>34791.196999999986</v>
      </c>
      <c r="H400" s="121">
        <f>H401</f>
        <v>205791.19699999999</v>
      </c>
      <c r="I400" s="121">
        <f t="shared" si="191"/>
        <v>168456.51500000001</v>
      </c>
      <c r="J400" s="121">
        <f t="shared" si="191"/>
        <v>203097.20699999999</v>
      </c>
      <c r="K400" s="121">
        <f t="shared" si="188"/>
        <v>98.69091096253257</v>
      </c>
    </row>
    <row r="401" spans="1:11" s="45" customFormat="1">
      <c r="A401" s="119" t="s">
        <v>105</v>
      </c>
      <c r="B401" s="120" t="s">
        <v>432</v>
      </c>
      <c r="C401" s="120" t="s">
        <v>483</v>
      </c>
      <c r="D401" s="120" t="s">
        <v>633</v>
      </c>
      <c r="E401" s="120" t="s">
        <v>425</v>
      </c>
      <c r="F401" s="121">
        <f>164000+7000</f>
        <v>171000</v>
      </c>
      <c r="G401" s="155">
        <f t="shared" si="169"/>
        <v>34791.196999999986</v>
      </c>
      <c r="H401" s="121">
        <f>164000+7000+37000-2208.803</f>
        <v>205791.19699999999</v>
      </c>
      <c r="I401" s="121">
        <v>168456.51500000001</v>
      </c>
      <c r="J401" s="121">
        <f>164000+7000+37000-2208.803-2693.99</f>
        <v>203097.20699999999</v>
      </c>
      <c r="K401" s="121">
        <f t="shared" si="188"/>
        <v>98.69091096253257</v>
      </c>
    </row>
    <row r="402" spans="1:11" s="45" customFormat="1">
      <c r="A402" s="110" t="s">
        <v>249</v>
      </c>
      <c r="B402" s="111" t="s">
        <v>432</v>
      </c>
      <c r="C402" s="111" t="s">
        <v>483</v>
      </c>
      <c r="D402" s="111" t="s">
        <v>634</v>
      </c>
      <c r="E402" s="111"/>
      <c r="F402" s="134">
        <f>F403</f>
        <v>48922</v>
      </c>
      <c r="G402" s="154">
        <f t="shared" si="169"/>
        <v>-37000</v>
      </c>
      <c r="H402" s="134">
        <f>H403</f>
        <v>11922</v>
      </c>
      <c r="I402" s="134">
        <f t="shared" ref="I402:J403" si="192">I403</f>
        <v>11810.145</v>
      </c>
      <c r="J402" s="134">
        <f t="shared" si="192"/>
        <v>11922</v>
      </c>
      <c r="K402" s="112">
        <f t="shared" si="188"/>
        <v>100</v>
      </c>
    </row>
    <row r="403" spans="1:11" s="45" customFormat="1">
      <c r="A403" s="119" t="s">
        <v>301</v>
      </c>
      <c r="B403" s="120" t="s">
        <v>432</v>
      </c>
      <c r="C403" s="120" t="s">
        <v>483</v>
      </c>
      <c r="D403" s="120" t="s">
        <v>634</v>
      </c>
      <c r="E403" s="120" t="s">
        <v>84</v>
      </c>
      <c r="F403" s="135">
        <f>F404</f>
        <v>48922</v>
      </c>
      <c r="G403" s="155">
        <f t="shared" si="169"/>
        <v>-37000</v>
      </c>
      <c r="H403" s="135">
        <f>H404</f>
        <v>11922</v>
      </c>
      <c r="I403" s="135">
        <f t="shared" si="192"/>
        <v>11810.145</v>
      </c>
      <c r="J403" s="135">
        <f t="shared" si="192"/>
        <v>11922</v>
      </c>
      <c r="K403" s="121">
        <f t="shared" si="188"/>
        <v>100</v>
      </c>
    </row>
    <row r="404" spans="1:11" s="45" customFormat="1">
      <c r="A404" s="119" t="s">
        <v>85</v>
      </c>
      <c r="B404" s="120" t="s">
        <v>432</v>
      </c>
      <c r="C404" s="120" t="s">
        <v>483</v>
      </c>
      <c r="D404" s="120" t="s">
        <v>634</v>
      </c>
      <c r="E404" s="120" t="s">
        <v>86</v>
      </c>
      <c r="F404" s="135">
        <v>48922</v>
      </c>
      <c r="G404" s="155">
        <f t="shared" si="169"/>
        <v>-37000</v>
      </c>
      <c r="H404" s="135">
        <f>48922-37000</f>
        <v>11922</v>
      </c>
      <c r="I404" s="135">
        <v>11810.145</v>
      </c>
      <c r="J404" s="135">
        <f>48922-37000</f>
        <v>11922</v>
      </c>
      <c r="K404" s="121">
        <f t="shared" si="188"/>
        <v>100</v>
      </c>
    </row>
    <row r="405" spans="1:11" s="45" customFormat="1" ht="40.5">
      <c r="A405" s="123" t="s">
        <v>699</v>
      </c>
      <c r="B405" s="114" t="s">
        <v>432</v>
      </c>
      <c r="C405" s="114" t="s">
        <v>483</v>
      </c>
      <c r="D405" s="114" t="s">
        <v>242</v>
      </c>
      <c r="E405" s="114"/>
      <c r="F405" s="115">
        <f>F406</f>
        <v>141385</v>
      </c>
      <c r="G405" s="154">
        <f t="shared" si="169"/>
        <v>0</v>
      </c>
      <c r="H405" s="115">
        <f>H406</f>
        <v>141385</v>
      </c>
      <c r="I405" s="115">
        <f t="shared" ref="I405:J405" si="193">I406</f>
        <v>109003.503</v>
      </c>
      <c r="J405" s="115">
        <f t="shared" si="193"/>
        <v>136385</v>
      </c>
      <c r="K405" s="115">
        <f t="shared" si="188"/>
        <v>96.463556954415253</v>
      </c>
    </row>
    <row r="406" spans="1:11" s="45" customFormat="1">
      <c r="A406" s="110" t="s">
        <v>450</v>
      </c>
      <c r="B406" s="111" t="s">
        <v>432</v>
      </c>
      <c r="C406" s="111" t="s">
        <v>483</v>
      </c>
      <c r="D406" s="111" t="s">
        <v>126</v>
      </c>
      <c r="E406" s="111"/>
      <c r="F406" s="112">
        <f>F407+F410+F413</f>
        <v>141385</v>
      </c>
      <c r="G406" s="154">
        <f t="shared" si="169"/>
        <v>0</v>
      </c>
      <c r="H406" s="112">
        <f>H407+H410+H413</f>
        <v>141385</v>
      </c>
      <c r="I406" s="112">
        <f t="shared" ref="I406:J406" si="194">I407+I410+I413</f>
        <v>109003.503</v>
      </c>
      <c r="J406" s="112">
        <f t="shared" si="194"/>
        <v>136385</v>
      </c>
      <c r="K406" s="112">
        <f t="shared" si="188"/>
        <v>96.463556954415253</v>
      </c>
    </row>
    <row r="407" spans="1:11" s="45" customFormat="1">
      <c r="A407" s="124" t="s">
        <v>60</v>
      </c>
      <c r="B407" s="125" t="s">
        <v>432</v>
      </c>
      <c r="C407" s="125" t="s">
        <v>483</v>
      </c>
      <c r="D407" s="125" t="s">
        <v>669</v>
      </c>
      <c r="E407" s="139"/>
      <c r="F407" s="126">
        <f>F408</f>
        <v>22385</v>
      </c>
      <c r="G407" s="154">
        <f t="shared" si="169"/>
        <v>0</v>
      </c>
      <c r="H407" s="126">
        <f>H408</f>
        <v>22385</v>
      </c>
      <c r="I407" s="126">
        <f t="shared" ref="I407:J408" si="195">I408</f>
        <v>19096.016</v>
      </c>
      <c r="J407" s="126">
        <f t="shared" si="195"/>
        <v>22385</v>
      </c>
      <c r="K407" s="126">
        <f t="shared" si="188"/>
        <v>100</v>
      </c>
    </row>
    <row r="408" spans="1:11" s="45" customFormat="1" ht="24">
      <c r="A408" s="119" t="s">
        <v>104</v>
      </c>
      <c r="B408" s="120" t="s">
        <v>432</v>
      </c>
      <c r="C408" s="120" t="s">
        <v>483</v>
      </c>
      <c r="D408" s="120" t="s">
        <v>669</v>
      </c>
      <c r="E408" s="120" t="s">
        <v>408</v>
      </c>
      <c r="F408" s="121">
        <f>F409</f>
        <v>22385</v>
      </c>
      <c r="G408" s="154">
        <f t="shared" si="169"/>
        <v>0</v>
      </c>
      <c r="H408" s="121">
        <f>H409</f>
        <v>22385</v>
      </c>
      <c r="I408" s="121">
        <f t="shared" si="195"/>
        <v>19096.016</v>
      </c>
      <c r="J408" s="121">
        <f t="shared" si="195"/>
        <v>22385</v>
      </c>
      <c r="K408" s="121">
        <f t="shared" si="188"/>
        <v>100</v>
      </c>
    </row>
    <row r="409" spans="1:11" s="45" customFormat="1">
      <c r="A409" s="119" t="s">
        <v>105</v>
      </c>
      <c r="B409" s="120" t="s">
        <v>432</v>
      </c>
      <c r="C409" s="120" t="s">
        <v>483</v>
      </c>
      <c r="D409" s="120" t="s">
        <v>669</v>
      </c>
      <c r="E409" s="120" t="s">
        <v>425</v>
      </c>
      <c r="F409" s="121">
        <v>22385</v>
      </c>
      <c r="G409" s="154">
        <f t="shared" si="169"/>
        <v>0</v>
      </c>
      <c r="H409" s="121">
        <v>22385</v>
      </c>
      <c r="I409" s="121">
        <v>19096.016</v>
      </c>
      <c r="J409" s="121">
        <v>22385</v>
      </c>
      <c r="K409" s="121">
        <f t="shared" si="188"/>
        <v>100</v>
      </c>
    </row>
    <row r="410" spans="1:11" s="45" customFormat="1" ht="36">
      <c r="A410" s="140" t="s">
        <v>358</v>
      </c>
      <c r="B410" s="125" t="s">
        <v>432</v>
      </c>
      <c r="C410" s="125" t="s">
        <v>483</v>
      </c>
      <c r="D410" s="125" t="s">
        <v>672</v>
      </c>
      <c r="E410" s="125"/>
      <c r="F410" s="136">
        <f>F411</f>
        <v>34000</v>
      </c>
      <c r="G410" s="154">
        <f t="shared" si="169"/>
        <v>0</v>
      </c>
      <c r="H410" s="136">
        <f>H411</f>
        <v>34000</v>
      </c>
      <c r="I410" s="136">
        <f t="shared" ref="I410:J411" si="196">I411</f>
        <v>31315.237000000001</v>
      </c>
      <c r="J410" s="136">
        <f t="shared" si="196"/>
        <v>34000</v>
      </c>
      <c r="K410" s="126">
        <f t="shared" si="188"/>
        <v>100</v>
      </c>
    </row>
    <row r="411" spans="1:11" s="45" customFormat="1">
      <c r="A411" s="119" t="s">
        <v>87</v>
      </c>
      <c r="B411" s="120" t="s">
        <v>432</v>
      </c>
      <c r="C411" s="120" t="s">
        <v>483</v>
      </c>
      <c r="D411" s="120" t="s">
        <v>672</v>
      </c>
      <c r="E411" s="120" t="s">
        <v>88</v>
      </c>
      <c r="F411" s="135">
        <f>F412</f>
        <v>34000</v>
      </c>
      <c r="G411" s="154">
        <f t="shared" ref="G411:G483" si="197">H411-F411</f>
        <v>0</v>
      </c>
      <c r="H411" s="135">
        <f>H412</f>
        <v>34000</v>
      </c>
      <c r="I411" s="135">
        <f t="shared" si="196"/>
        <v>31315.237000000001</v>
      </c>
      <c r="J411" s="135">
        <f t="shared" si="196"/>
        <v>34000</v>
      </c>
      <c r="K411" s="121">
        <f t="shared" si="188"/>
        <v>100</v>
      </c>
    </row>
    <row r="412" spans="1:11" s="45" customFormat="1" ht="24">
      <c r="A412" s="119" t="s">
        <v>513</v>
      </c>
      <c r="B412" s="120" t="s">
        <v>432</v>
      </c>
      <c r="C412" s="120" t="s">
        <v>483</v>
      </c>
      <c r="D412" s="120" t="s">
        <v>672</v>
      </c>
      <c r="E412" s="120" t="s">
        <v>430</v>
      </c>
      <c r="F412" s="135">
        <v>34000</v>
      </c>
      <c r="G412" s="154">
        <f t="shared" si="197"/>
        <v>0</v>
      </c>
      <c r="H412" s="135">
        <v>34000</v>
      </c>
      <c r="I412" s="135">
        <v>31315.237000000001</v>
      </c>
      <c r="J412" s="135">
        <v>34000</v>
      </c>
      <c r="K412" s="121">
        <f t="shared" si="188"/>
        <v>100</v>
      </c>
    </row>
    <row r="413" spans="1:11" s="45" customFormat="1">
      <c r="A413" s="124" t="s">
        <v>248</v>
      </c>
      <c r="B413" s="125" t="s">
        <v>432</v>
      </c>
      <c r="C413" s="125" t="s">
        <v>483</v>
      </c>
      <c r="D413" s="125" t="s">
        <v>673</v>
      </c>
      <c r="E413" s="125"/>
      <c r="F413" s="126">
        <f>F414</f>
        <v>85000</v>
      </c>
      <c r="G413" s="154">
        <f t="shared" si="197"/>
        <v>0</v>
      </c>
      <c r="H413" s="126">
        <f>H414</f>
        <v>85000</v>
      </c>
      <c r="I413" s="126">
        <f t="shared" ref="I413:J414" si="198">I414</f>
        <v>58592.25</v>
      </c>
      <c r="J413" s="126">
        <f t="shared" si="198"/>
        <v>80000</v>
      </c>
      <c r="K413" s="126">
        <f t="shared" si="188"/>
        <v>94.117647058823522</v>
      </c>
    </row>
    <row r="414" spans="1:11" s="45" customFormat="1">
      <c r="A414" s="119" t="s">
        <v>301</v>
      </c>
      <c r="B414" s="120" t="s">
        <v>432</v>
      </c>
      <c r="C414" s="120" t="s">
        <v>483</v>
      </c>
      <c r="D414" s="120" t="s">
        <v>673</v>
      </c>
      <c r="E414" s="120" t="s">
        <v>84</v>
      </c>
      <c r="F414" s="121">
        <f>F415</f>
        <v>85000</v>
      </c>
      <c r="G414" s="154">
        <f t="shared" si="197"/>
        <v>0</v>
      </c>
      <c r="H414" s="121">
        <f>H415</f>
        <v>85000</v>
      </c>
      <c r="I414" s="121">
        <f t="shared" si="198"/>
        <v>58592.25</v>
      </c>
      <c r="J414" s="121">
        <f t="shared" si="198"/>
        <v>80000</v>
      </c>
      <c r="K414" s="121">
        <f t="shared" si="188"/>
        <v>94.117647058823522</v>
      </c>
    </row>
    <row r="415" spans="1:11" s="45" customFormat="1">
      <c r="A415" s="119" t="s">
        <v>85</v>
      </c>
      <c r="B415" s="120" t="s">
        <v>432</v>
      </c>
      <c r="C415" s="120" t="s">
        <v>483</v>
      </c>
      <c r="D415" s="120" t="s">
        <v>673</v>
      </c>
      <c r="E415" s="120" t="s">
        <v>86</v>
      </c>
      <c r="F415" s="121">
        <v>85000</v>
      </c>
      <c r="G415" s="154">
        <f t="shared" si="197"/>
        <v>0</v>
      </c>
      <c r="H415" s="121">
        <v>85000</v>
      </c>
      <c r="I415" s="121">
        <v>58592.25</v>
      </c>
      <c r="J415" s="121">
        <f>85000-5000</f>
        <v>80000</v>
      </c>
      <c r="K415" s="121">
        <f t="shared" si="188"/>
        <v>94.117647058823522</v>
      </c>
    </row>
    <row r="416" spans="1:11" s="45" customFormat="1" ht="27">
      <c r="A416" s="123" t="s">
        <v>694</v>
      </c>
      <c r="B416" s="114" t="s">
        <v>432</v>
      </c>
      <c r="C416" s="114" t="s">
        <v>483</v>
      </c>
      <c r="D416" s="114" t="s">
        <v>272</v>
      </c>
      <c r="E416" s="114"/>
      <c r="F416" s="115">
        <f>F417+F420+F423+F426+F429</f>
        <v>114100</v>
      </c>
      <c r="G416" s="152">
        <f t="shared" si="197"/>
        <v>61000</v>
      </c>
      <c r="H416" s="115">
        <f>H417+H420+H423+H426+H429+H432</f>
        <v>175100</v>
      </c>
      <c r="I416" s="115">
        <f t="shared" ref="I416:J416" si="199">I417+I420+I423+I426+I429+I432</f>
        <v>100777.761</v>
      </c>
      <c r="J416" s="115">
        <f t="shared" si="199"/>
        <v>174206.32699999999</v>
      </c>
      <c r="K416" s="115">
        <f t="shared" si="188"/>
        <v>99.489621359223293</v>
      </c>
    </row>
    <row r="417" spans="1:11" s="45" customFormat="1">
      <c r="A417" s="141" t="s">
        <v>642</v>
      </c>
      <c r="B417" s="111" t="s">
        <v>432</v>
      </c>
      <c r="C417" s="111" t="s">
        <v>483</v>
      </c>
      <c r="D417" s="111" t="s">
        <v>643</v>
      </c>
      <c r="E417" s="111"/>
      <c r="F417" s="112">
        <f>F418</f>
        <v>10000</v>
      </c>
      <c r="G417" s="154">
        <f t="shared" si="197"/>
        <v>0</v>
      </c>
      <c r="H417" s="112">
        <f>H418</f>
        <v>10000</v>
      </c>
      <c r="I417" s="112">
        <f t="shared" ref="I417:J418" si="200">I418</f>
        <v>9013.6039999999994</v>
      </c>
      <c r="J417" s="112">
        <f t="shared" si="200"/>
        <v>10000</v>
      </c>
      <c r="K417" s="112">
        <f t="shared" si="188"/>
        <v>100</v>
      </c>
    </row>
    <row r="418" spans="1:11" s="45" customFormat="1">
      <c r="A418" s="119" t="s">
        <v>189</v>
      </c>
      <c r="B418" s="120" t="s">
        <v>432</v>
      </c>
      <c r="C418" s="120" t="s">
        <v>483</v>
      </c>
      <c r="D418" s="120" t="s">
        <v>643</v>
      </c>
      <c r="E418" s="120" t="s">
        <v>84</v>
      </c>
      <c r="F418" s="121">
        <f>F419</f>
        <v>10000</v>
      </c>
      <c r="G418" s="154">
        <f t="shared" si="197"/>
        <v>0</v>
      </c>
      <c r="H418" s="121">
        <f>H419</f>
        <v>10000</v>
      </c>
      <c r="I418" s="121">
        <f t="shared" si="200"/>
        <v>9013.6039999999994</v>
      </c>
      <c r="J418" s="121">
        <f t="shared" si="200"/>
        <v>10000</v>
      </c>
      <c r="K418" s="121">
        <f t="shared" si="188"/>
        <v>100</v>
      </c>
    </row>
    <row r="419" spans="1:11" s="45" customFormat="1">
      <c r="A419" s="119" t="s">
        <v>85</v>
      </c>
      <c r="B419" s="120" t="s">
        <v>432</v>
      </c>
      <c r="C419" s="120" t="s">
        <v>483</v>
      </c>
      <c r="D419" s="120" t="s">
        <v>643</v>
      </c>
      <c r="E419" s="120" t="s">
        <v>86</v>
      </c>
      <c r="F419" s="121">
        <v>10000</v>
      </c>
      <c r="G419" s="154">
        <f t="shared" si="197"/>
        <v>0</v>
      </c>
      <c r="H419" s="121">
        <v>10000</v>
      </c>
      <c r="I419" s="121">
        <v>9013.6039999999994</v>
      </c>
      <c r="J419" s="121">
        <v>10000</v>
      </c>
      <c r="K419" s="121">
        <f t="shared" si="188"/>
        <v>100</v>
      </c>
    </row>
    <row r="420" spans="1:11" s="45" customFormat="1">
      <c r="A420" s="110" t="s">
        <v>644</v>
      </c>
      <c r="B420" s="111" t="s">
        <v>432</v>
      </c>
      <c r="C420" s="111" t="s">
        <v>483</v>
      </c>
      <c r="D420" s="111" t="s">
        <v>645</v>
      </c>
      <c r="E420" s="111"/>
      <c r="F420" s="112">
        <f>F421</f>
        <v>3600</v>
      </c>
      <c r="G420" s="154">
        <f t="shared" si="197"/>
        <v>0</v>
      </c>
      <c r="H420" s="112">
        <f>H421</f>
        <v>3600</v>
      </c>
      <c r="I420" s="112">
        <f t="shared" ref="I420:J421" si="201">I421</f>
        <v>2706.3270000000002</v>
      </c>
      <c r="J420" s="112">
        <f t="shared" si="201"/>
        <v>2706.3270000000002</v>
      </c>
      <c r="K420" s="112">
        <f t="shared" si="188"/>
        <v>75.175750000000008</v>
      </c>
    </row>
    <row r="421" spans="1:11" s="45" customFormat="1">
      <c r="A421" s="119" t="s">
        <v>189</v>
      </c>
      <c r="B421" s="120" t="s">
        <v>432</v>
      </c>
      <c r="C421" s="120" t="s">
        <v>483</v>
      </c>
      <c r="D421" s="120" t="s">
        <v>645</v>
      </c>
      <c r="E421" s="120" t="s">
        <v>84</v>
      </c>
      <c r="F421" s="121">
        <f>F422</f>
        <v>3600</v>
      </c>
      <c r="G421" s="154">
        <f t="shared" si="197"/>
        <v>0</v>
      </c>
      <c r="H421" s="121">
        <f>H422</f>
        <v>3600</v>
      </c>
      <c r="I421" s="121">
        <f t="shared" si="201"/>
        <v>2706.3270000000002</v>
      </c>
      <c r="J421" s="121">
        <f t="shared" si="201"/>
        <v>2706.3270000000002</v>
      </c>
      <c r="K421" s="121">
        <f t="shared" si="188"/>
        <v>75.175750000000008</v>
      </c>
    </row>
    <row r="422" spans="1:11" s="45" customFormat="1">
      <c r="A422" s="119" t="s">
        <v>85</v>
      </c>
      <c r="B422" s="120" t="s">
        <v>432</v>
      </c>
      <c r="C422" s="120" t="s">
        <v>483</v>
      </c>
      <c r="D422" s="120" t="s">
        <v>645</v>
      </c>
      <c r="E422" s="120" t="s">
        <v>86</v>
      </c>
      <c r="F422" s="121">
        <v>3600</v>
      </c>
      <c r="G422" s="154">
        <f t="shared" si="197"/>
        <v>0</v>
      </c>
      <c r="H422" s="121">
        <v>3600</v>
      </c>
      <c r="I422" s="121">
        <v>2706.3270000000002</v>
      </c>
      <c r="J422" s="121">
        <f>3600-893.673</f>
        <v>2706.3270000000002</v>
      </c>
      <c r="K422" s="121">
        <f t="shared" si="188"/>
        <v>75.175750000000008</v>
      </c>
    </row>
    <row r="423" spans="1:11" s="45" customFormat="1">
      <c r="A423" s="141" t="s">
        <v>136</v>
      </c>
      <c r="B423" s="111" t="s">
        <v>432</v>
      </c>
      <c r="C423" s="111" t="s">
        <v>483</v>
      </c>
      <c r="D423" s="111" t="s">
        <v>640</v>
      </c>
      <c r="E423" s="111"/>
      <c r="F423" s="134">
        <f>F424</f>
        <v>500</v>
      </c>
      <c r="G423" s="154">
        <f t="shared" si="197"/>
        <v>0</v>
      </c>
      <c r="H423" s="134">
        <f>H424</f>
        <v>500</v>
      </c>
      <c r="I423" s="134">
        <f t="shared" ref="I423:J424" si="202">I424</f>
        <v>189.797</v>
      </c>
      <c r="J423" s="134">
        <f t="shared" si="202"/>
        <v>500</v>
      </c>
      <c r="K423" s="112">
        <f t="shared" si="188"/>
        <v>100</v>
      </c>
    </row>
    <row r="424" spans="1:11" s="45" customFormat="1">
      <c r="A424" s="119" t="s">
        <v>301</v>
      </c>
      <c r="B424" s="120" t="s">
        <v>432</v>
      </c>
      <c r="C424" s="120" t="s">
        <v>483</v>
      </c>
      <c r="D424" s="120" t="s">
        <v>640</v>
      </c>
      <c r="E424" s="120" t="s">
        <v>84</v>
      </c>
      <c r="F424" s="135">
        <f>F425</f>
        <v>500</v>
      </c>
      <c r="G424" s="154">
        <f t="shared" si="197"/>
        <v>0</v>
      </c>
      <c r="H424" s="135">
        <f>H425</f>
        <v>500</v>
      </c>
      <c r="I424" s="135">
        <f t="shared" si="202"/>
        <v>189.797</v>
      </c>
      <c r="J424" s="135">
        <f t="shared" si="202"/>
        <v>500</v>
      </c>
      <c r="K424" s="121">
        <f t="shared" si="188"/>
        <v>100</v>
      </c>
    </row>
    <row r="425" spans="1:11" s="45" customFormat="1">
      <c r="A425" s="119" t="s">
        <v>85</v>
      </c>
      <c r="B425" s="120" t="s">
        <v>432</v>
      </c>
      <c r="C425" s="120" t="s">
        <v>483</v>
      </c>
      <c r="D425" s="120" t="s">
        <v>640</v>
      </c>
      <c r="E425" s="120" t="s">
        <v>86</v>
      </c>
      <c r="F425" s="135">
        <v>500</v>
      </c>
      <c r="G425" s="154">
        <f t="shared" si="197"/>
        <v>0</v>
      </c>
      <c r="H425" s="135">
        <v>500</v>
      </c>
      <c r="I425" s="135">
        <v>189.797</v>
      </c>
      <c r="J425" s="135">
        <v>500</v>
      </c>
      <c r="K425" s="121">
        <f t="shared" si="188"/>
        <v>100</v>
      </c>
    </row>
    <row r="426" spans="1:11" s="45" customFormat="1">
      <c r="A426" s="110" t="s">
        <v>703</v>
      </c>
      <c r="B426" s="111" t="s">
        <v>432</v>
      </c>
      <c r="C426" s="111" t="s">
        <v>483</v>
      </c>
      <c r="D426" s="111" t="s">
        <v>700</v>
      </c>
      <c r="E426" s="111"/>
      <c r="F426" s="134">
        <f>F427</f>
        <v>100000</v>
      </c>
      <c r="G426" s="154">
        <f t="shared" si="197"/>
        <v>0</v>
      </c>
      <c r="H426" s="134">
        <f>H427</f>
        <v>100000</v>
      </c>
      <c r="I426" s="134">
        <f t="shared" ref="I426:J427" si="203">I427</f>
        <v>87735.337</v>
      </c>
      <c r="J426" s="134">
        <f t="shared" si="203"/>
        <v>100000</v>
      </c>
      <c r="K426" s="112">
        <f t="shared" si="188"/>
        <v>100</v>
      </c>
    </row>
    <row r="427" spans="1:11" s="45" customFormat="1">
      <c r="A427" s="119" t="s">
        <v>189</v>
      </c>
      <c r="B427" s="120" t="s">
        <v>432</v>
      </c>
      <c r="C427" s="120" t="s">
        <v>483</v>
      </c>
      <c r="D427" s="120" t="s">
        <v>700</v>
      </c>
      <c r="E427" s="120" t="s">
        <v>84</v>
      </c>
      <c r="F427" s="135">
        <f>F428</f>
        <v>100000</v>
      </c>
      <c r="G427" s="154">
        <f t="shared" si="197"/>
        <v>0</v>
      </c>
      <c r="H427" s="135">
        <f>H428</f>
        <v>100000</v>
      </c>
      <c r="I427" s="135">
        <f t="shared" si="203"/>
        <v>87735.337</v>
      </c>
      <c r="J427" s="135">
        <f t="shared" si="203"/>
        <v>100000</v>
      </c>
      <c r="K427" s="121">
        <f t="shared" si="188"/>
        <v>100</v>
      </c>
    </row>
    <row r="428" spans="1:11" s="45" customFormat="1">
      <c r="A428" s="119" t="s">
        <v>85</v>
      </c>
      <c r="B428" s="120" t="s">
        <v>432</v>
      </c>
      <c r="C428" s="120" t="s">
        <v>483</v>
      </c>
      <c r="D428" s="120" t="s">
        <v>700</v>
      </c>
      <c r="E428" s="120" t="s">
        <v>86</v>
      </c>
      <c r="F428" s="135">
        <v>100000</v>
      </c>
      <c r="G428" s="154">
        <f t="shared" si="197"/>
        <v>0</v>
      </c>
      <c r="H428" s="135">
        <v>100000</v>
      </c>
      <c r="I428" s="135">
        <v>87735.337</v>
      </c>
      <c r="J428" s="135">
        <v>100000</v>
      </c>
      <c r="K428" s="121">
        <f t="shared" si="188"/>
        <v>100</v>
      </c>
    </row>
    <row r="429" spans="1:11" s="45" customFormat="1">
      <c r="A429" s="110" t="s">
        <v>704</v>
      </c>
      <c r="B429" s="111" t="s">
        <v>432</v>
      </c>
      <c r="C429" s="111" t="s">
        <v>483</v>
      </c>
      <c r="D429" s="111" t="s">
        <v>705</v>
      </c>
      <c r="E429" s="111"/>
      <c r="F429" s="134">
        <f>F430</f>
        <v>0</v>
      </c>
      <c r="G429" s="134">
        <f t="shared" si="197"/>
        <v>50000</v>
      </c>
      <c r="H429" s="134">
        <f>H430</f>
        <v>50000</v>
      </c>
      <c r="I429" s="134">
        <f t="shared" ref="I429:J430" si="204">I430</f>
        <v>0</v>
      </c>
      <c r="J429" s="134">
        <f t="shared" si="204"/>
        <v>50000</v>
      </c>
      <c r="K429" s="112">
        <f t="shared" si="188"/>
        <v>100</v>
      </c>
    </row>
    <row r="430" spans="1:11" s="45" customFormat="1">
      <c r="A430" s="119" t="s">
        <v>189</v>
      </c>
      <c r="B430" s="120" t="s">
        <v>432</v>
      </c>
      <c r="C430" s="120" t="s">
        <v>483</v>
      </c>
      <c r="D430" s="120" t="s">
        <v>705</v>
      </c>
      <c r="E430" s="120" t="s">
        <v>84</v>
      </c>
      <c r="F430" s="135">
        <f>F431</f>
        <v>0</v>
      </c>
      <c r="G430" s="135">
        <f t="shared" si="197"/>
        <v>50000</v>
      </c>
      <c r="H430" s="135">
        <f>H431</f>
        <v>50000</v>
      </c>
      <c r="I430" s="135">
        <f t="shared" si="204"/>
        <v>0</v>
      </c>
      <c r="J430" s="135">
        <f t="shared" si="204"/>
        <v>50000</v>
      </c>
      <c r="K430" s="121">
        <f t="shared" si="188"/>
        <v>100</v>
      </c>
    </row>
    <row r="431" spans="1:11" s="45" customFormat="1">
      <c r="A431" s="119" t="s">
        <v>85</v>
      </c>
      <c r="B431" s="120" t="s">
        <v>432</v>
      </c>
      <c r="C431" s="120" t="s">
        <v>483</v>
      </c>
      <c r="D431" s="120" t="s">
        <v>705</v>
      </c>
      <c r="E431" s="120" t="s">
        <v>86</v>
      </c>
      <c r="F431" s="135">
        <v>0</v>
      </c>
      <c r="G431" s="135">
        <f t="shared" si="197"/>
        <v>50000</v>
      </c>
      <c r="H431" s="135">
        <v>50000</v>
      </c>
      <c r="I431" s="135">
        <v>0</v>
      </c>
      <c r="J431" s="135">
        <v>50000</v>
      </c>
      <c r="K431" s="121">
        <f t="shared" si="188"/>
        <v>100</v>
      </c>
    </row>
    <row r="432" spans="1:11" s="45" customFormat="1" ht="24">
      <c r="A432" s="110" t="s">
        <v>755</v>
      </c>
      <c r="B432" s="111" t="s">
        <v>432</v>
      </c>
      <c r="C432" s="111" t="s">
        <v>483</v>
      </c>
      <c r="D432" s="111" t="s">
        <v>756</v>
      </c>
      <c r="E432" s="120"/>
      <c r="F432" s="135"/>
      <c r="G432" s="154"/>
      <c r="H432" s="134">
        <f>H433</f>
        <v>11000</v>
      </c>
      <c r="I432" s="134">
        <f t="shared" ref="I432:J433" si="205">I433</f>
        <v>1132.6959999999999</v>
      </c>
      <c r="J432" s="134">
        <f t="shared" si="205"/>
        <v>11000</v>
      </c>
      <c r="K432" s="112">
        <f t="shared" si="188"/>
        <v>100</v>
      </c>
    </row>
    <row r="433" spans="1:11" s="45" customFormat="1">
      <c r="A433" s="119" t="s">
        <v>189</v>
      </c>
      <c r="B433" s="120" t="s">
        <v>432</v>
      </c>
      <c r="C433" s="120" t="s">
        <v>483</v>
      </c>
      <c r="D433" s="120" t="s">
        <v>756</v>
      </c>
      <c r="E433" s="120" t="s">
        <v>84</v>
      </c>
      <c r="F433" s="135"/>
      <c r="G433" s="154"/>
      <c r="H433" s="135">
        <f>H434</f>
        <v>11000</v>
      </c>
      <c r="I433" s="135">
        <f t="shared" si="205"/>
        <v>1132.6959999999999</v>
      </c>
      <c r="J433" s="135">
        <f t="shared" si="205"/>
        <v>11000</v>
      </c>
      <c r="K433" s="121">
        <f t="shared" si="188"/>
        <v>100</v>
      </c>
    </row>
    <row r="434" spans="1:11" s="45" customFormat="1">
      <c r="A434" s="119" t="s">
        <v>85</v>
      </c>
      <c r="B434" s="120" t="s">
        <v>432</v>
      </c>
      <c r="C434" s="120" t="s">
        <v>483</v>
      </c>
      <c r="D434" s="120" t="s">
        <v>756</v>
      </c>
      <c r="E434" s="120" t="s">
        <v>86</v>
      </c>
      <c r="F434" s="135"/>
      <c r="G434" s="154"/>
      <c r="H434" s="135">
        <v>11000</v>
      </c>
      <c r="I434" s="135">
        <v>1132.6959999999999</v>
      </c>
      <c r="J434" s="135">
        <v>11000</v>
      </c>
      <c r="K434" s="121">
        <f t="shared" si="188"/>
        <v>100</v>
      </c>
    </row>
    <row r="435" spans="1:11" s="45" customFormat="1" ht="27">
      <c r="A435" s="123" t="s">
        <v>635</v>
      </c>
      <c r="B435" s="114" t="s">
        <v>432</v>
      </c>
      <c r="C435" s="114" t="s">
        <v>483</v>
      </c>
      <c r="D435" s="149" t="s">
        <v>495</v>
      </c>
      <c r="E435" s="114"/>
      <c r="F435" s="162">
        <f>F439</f>
        <v>8000</v>
      </c>
      <c r="G435" s="154">
        <f t="shared" si="197"/>
        <v>85917.979800000001</v>
      </c>
      <c r="H435" s="162">
        <f>H439+H436</f>
        <v>93917.979800000001</v>
      </c>
      <c r="I435" s="162">
        <f t="shared" ref="I435:J435" si="206">I439+I436</f>
        <v>72135.904999999999</v>
      </c>
      <c r="J435" s="162">
        <f t="shared" si="206"/>
        <v>93917.979800000001</v>
      </c>
      <c r="K435" s="115">
        <f t="shared" si="188"/>
        <v>100</v>
      </c>
    </row>
    <row r="436" spans="1:11" s="45" customFormat="1" ht="13.5">
      <c r="A436" s="69" t="s">
        <v>737</v>
      </c>
      <c r="B436" s="21" t="s">
        <v>432</v>
      </c>
      <c r="C436" s="21" t="s">
        <v>483</v>
      </c>
      <c r="D436" s="39" t="s">
        <v>738</v>
      </c>
      <c r="E436" s="21"/>
      <c r="F436" s="162"/>
      <c r="G436" s="154"/>
      <c r="H436" s="134">
        <f>H437</f>
        <v>85917.979800000001</v>
      </c>
      <c r="I436" s="134">
        <f t="shared" ref="I436:J437" si="207">I437</f>
        <v>67457.279999999999</v>
      </c>
      <c r="J436" s="134">
        <f t="shared" si="207"/>
        <v>85917.979800000001</v>
      </c>
      <c r="K436" s="112">
        <f t="shared" si="188"/>
        <v>100</v>
      </c>
    </row>
    <row r="437" spans="1:11" s="45" customFormat="1" ht="13.5">
      <c r="A437" s="72" t="s">
        <v>301</v>
      </c>
      <c r="B437" s="28" t="s">
        <v>432</v>
      </c>
      <c r="C437" s="28" t="s">
        <v>483</v>
      </c>
      <c r="D437" s="36" t="s">
        <v>738</v>
      </c>
      <c r="E437" s="28" t="s">
        <v>84</v>
      </c>
      <c r="F437" s="162"/>
      <c r="G437" s="154"/>
      <c r="H437" s="135">
        <f>H438</f>
        <v>85917.979800000001</v>
      </c>
      <c r="I437" s="135">
        <f t="shared" si="207"/>
        <v>67457.279999999999</v>
      </c>
      <c r="J437" s="135">
        <f t="shared" si="207"/>
        <v>85917.979800000001</v>
      </c>
      <c r="K437" s="121">
        <f t="shared" si="188"/>
        <v>100</v>
      </c>
    </row>
    <row r="438" spans="1:11" s="45" customFormat="1" ht="13.5">
      <c r="A438" s="72" t="s">
        <v>85</v>
      </c>
      <c r="B438" s="28" t="s">
        <v>432</v>
      </c>
      <c r="C438" s="28" t="s">
        <v>483</v>
      </c>
      <c r="D438" s="36" t="s">
        <v>738</v>
      </c>
      <c r="E438" s="28" t="s">
        <v>86</v>
      </c>
      <c r="F438" s="162"/>
      <c r="G438" s="154"/>
      <c r="H438" s="135">
        <v>85917.979800000001</v>
      </c>
      <c r="I438" s="135">
        <v>67457.279999999999</v>
      </c>
      <c r="J438" s="135">
        <v>85917.979800000001</v>
      </c>
      <c r="K438" s="121">
        <f t="shared" si="188"/>
        <v>100</v>
      </c>
    </row>
    <row r="439" spans="1:11" s="45" customFormat="1" ht="24">
      <c r="A439" s="110" t="s">
        <v>45</v>
      </c>
      <c r="B439" s="111" t="s">
        <v>432</v>
      </c>
      <c r="C439" s="111" t="s">
        <v>483</v>
      </c>
      <c r="D439" s="142" t="s">
        <v>618</v>
      </c>
      <c r="E439" s="111"/>
      <c r="F439" s="134">
        <f>F440</f>
        <v>8000</v>
      </c>
      <c r="G439" s="154">
        <f t="shared" si="197"/>
        <v>0</v>
      </c>
      <c r="H439" s="134">
        <f>H440</f>
        <v>8000</v>
      </c>
      <c r="I439" s="134">
        <f t="shared" ref="I439:J440" si="208">I440</f>
        <v>4678.625</v>
      </c>
      <c r="J439" s="134">
        <f t="shared" si="208"/>
        <v>8000</v>
      </c>
      <c r="K439" s="112">
        <f t="shared" si="188"/>
        <v>100</v>
      </c>
    </row>
    <row r="440" spans="1:11" s="45" customFormat="1">
      <c r="A440" s="119" t="s">
        <v>301</v>
      </c>
      <c r="B440" s="120" t="s">
        <v>432</v>
      </c>
      <c r="C440" s="120" t="s">
        <v>483</v>
      </c>
      <c r="D440" s="130" t="s">
        <v>618</v>
      </c>
      <c r="E440" s="120" t="s">
        <v>84</v>
      </c>
      <c r="F440" s="135">
        <f>F441</f>
        <v>8000</v>
      </c>
      <c r="G440" s="154">
        <f t="shared" si="197"/>
        <v>0</v>
      </c>
      <c r="H440" s="135">
        <f>H441</f>
        <v>8000</v>
      </c>
      <c r="I440" s="135">
        <f t="shared" si="208"/>
        <v>4678.625</v>
      </c>
      <c r="J440" s="135">
        <f t="shared" si="208"/>
        <v>8000</v>
      </c>
      <c r="K440" s="121">
        <f t="shared" si="188"/>
        <v>100</v>
      </c>
    </row>
    <row r="441" spans="1:11" s="45" customFormat="1">
      <c r="A441" s="119" t="s">
        <v>85</v>
      </c>
      <c r="B441" s="120" t="s">
        <v>432</v>
      </c>
      <c r="C441" s="120" t="s">
        <v>483</v>
      </c>
      <c r="D441" s="130" t="s">
        <v>618</v>
      </c>
      <c r="E441" s="120" t="s">
        <v>86</v>
      </c>
      <c r="F441" s="135">
        <v>8000</v>
      </c>
      <c r="G441" s="154">
        <f t="shared" si="197"/>
        <v>0</v>
      </c>
      <c r="H441" s="135">
        <v>8000</v>
      </c>
      <c r="I441" s="135">
        <v>4678.625</v>
      </c>
      <c r="J441" s="135">
        <v>8000</v>
      </c>
      <c r="K441" s="121">
        <f t="shared" si="188"/>
        <v>100</v>
      </c>
    </row>
    <row r="442" spans="1:11" s="45" customFormat="1">
      <c r="A442" s="145" t="s">
        <v>74</v>
      </c>
      <c r="B442" s="125" t="s">
        <v>432</v>
      </c>
      <c r="C442" s="125" t="s">
        <v>483</v>
      </c>
      <c r="D442" s="125" t="s">
        <v>214</v>
      </c>
      <c r="E442" s="125"/>
      <c r="F442" s="126">
        <f>F443</f>
        <v>5000</v>
      </c>
      <c r="G442" s="154">
        <f t="shared" si="197"/>
        <v>-300</v>
      </c>
      <c r="H442" s="126">
        <f>H443</f>
        <v>4700</v>
      </c>
      <c r="I442" s="126">
        <f t="shared" ref="I442:J445" si="209">I443</f>
        <v>2261.8780000000002</v>
      </c>
      <c r="J442" s="126">
        <f t="shared" si="209"/>
        <v>3900</v>
      </c>
      <c r="K442" s="126">
        <f t="shared" si="188"/>
        <v>82.978723404255319</v>
      </c>
    </row>
    <row r="443" spans="1:11" s="45" customFormat="1">
      <c r="A443" s="110" t="s">
        <v>304</v>
      </c>
      <c r="B443" s="111" t="s">
        <v>432</v>
      </c>
      <c r="C443" s="111" t="s">
        <v>483</v>
      </c>
      <c r="D443" s="111" t="s">
        <v>215</v>
      </c>
      <c r="E443" s="111"/>
      <c r="F443" s="112">
        <f>F444</f>
        <v>5000</v>
      </c>
      <c r="G443" s="154">
        <f t="shared" si="197"/>
        <v>-300</v>
      </c>
      <c r="H443" s="112">
        <f>H444</f>
        <v>4700</v>
      </c>
      <c r="I443" s="112">
        <f t="shared" si="209"/>
        <v>2261.8780000000002</v>
      </c>
      <c r="J443" s="112">
        <f t="shared" si="209"/>
        <v>3900</v>
      </c>
      <c r="K443" s="112">
        <f t="shared" si="188"/>
        <v>82.978723404255319</v>
      </c>
    </row>
    <row r="444" spans="1:11" s="45" customFormat="1">
      <c r="A444" s="110" t="s">
        <v>696</v>
      </c>
      <c r="B444" s="111" t="s">
        <v>432</v>
      </c>
      <c r="C444" s="111" t="s">
        <v>483</v>
      </c>
      <c r="D444" s="142" t="s">
        <v>346</v>
      </c>
      <c r="E444" s="111"/>
      <c r="F444" s="112">
        <f>F445</f>
        <v>5000</v>
      </c>
      <c r="G444" s="154">
        <f t="shared" si="197"/>
        <v>-300</v>
      </c>
      <c r="H444" s="112">
        <f>H445</f>
        <v>4700</v>
      </c>
      <c r="I444" s="112">
        <f t="shared" si="209"/>
        <v>2261.8780000000002</v>
      </c>
      <c r="J444" s="112">
        <f t="shared" si="209"/>
        <v>3900</v>
      </c>
      <c r="K444" s="112">
        <f t="shared" si="188"/>
        <v>82.978723404255319</v>
      </c>
    </row>
    <row r="445" spans="1:11" s="45" customFormat="1">
      <c r="A445" s="119" t="s">
        <v>596</v>
      </c>
      <c r="B445" s="120" t="s">
        <v>432</v>
      </c>
      <c r="C445" s="120" t="s">
        <v>483</v>
      </c>
      <c r="D445" s="130" t="s">
        <v>346</v>
      </c>
      <c r="E445" s="120" t="s">
        <v>84</v>
      </c>
      <c r="F445" s="121">
        <f>F446</f>
        <v>5000</v>
      </c>
      <c r="G445" s="154">
        <f t="shared" si="197"/>
        <v>-300</v>
      </c>
      <c r="H445" s="121">
        <f>H446</f>
        <v>4700</v>
      </c>
      <c r="I445" s="121">
        <f t="shared" si="209"/>
        <v>2261.8780000000002</v>
      </c>
      <c r="J445" s="121">
        <f t="shared" si="209"/>
        <v>3900</v>
      </c>
      <c r="K445" s="121">
        <f t="shared" si="188"/>
        <v>82.978723404255319</v>
      </c>
    </row>
    <row r="446" spans="1:11" s="45" customFormat="1">
      <c r="A446" s="119" t="s">
        <v>85</v>
      </c>
      <c r="B446" s="120" t="s">
        <v>432</v>
      </c>
      <c r="C446" s="120" t="s">
        <v>483</v>
      </c>
      <c r="D446" s="130" t="s">
        <v>346</v>
      </c>
      <c r="E446" s="120" t="s">
        <v>86</v>
      </c>
      <c r="F446" s="121">
        <v>5000</v>
      </c>
      <c r="G446" s="154">
        <f t="shared" si="197"/>
        <v>-300</v>
      </c>
      <c r="H446" s="121">
        <f>5000-300</f>
        <v>4700</v>
      </c>
      <c r="I446" s="121">
        <v>2261.8780000000002</v>
      </c>
      <c r="J446" s="121">
        <f>5000-300-800</f>
        <v>3900</v>
      </c>
      <c r="K446" s="121">
        <f t="shared" si="188"/>
        <v>82.978723404255319</v>
      </c>
    </row>
    <row r="447" spans="1:11" s="45" customFormat="1">
      <c r="A447" s="110" t="s">
        <v>380</v>
      </c>
      <c r="B447" s="111" t="s">
        <v>432</v>
      </c>
      <c r="C447" s="111" t="s">
        <v>432</v>
      </c>
      <c r="D447" s="111"/>
      <c r="E447" s="111"/>
      <c r="F447" s="112">
        <f>F448+F459+F479</f>
        <v>35071.199999999997</v>
      </c>
      <c r="G447" s="154">
        <f t="shared" si="197"/>
        <v>2578.8029999999999</v>
      </c>
      <c r="H447" s="112">
        <f>H448+H459+H479</f>
        <v>37650.002999999997</v>
      </c>
      <c r="I447" s="112">
        <f t="shared" ref="I447:J447" si="210">I448+I459+I479</f>
        <v>27603.235999999997</v>
      </c>
      <c r="J447" s="112">
        <f t="shared" si="210"/>
        <v>37650.002999999997</v>
      </c>
      <c r="K447" s="112">
        <f t="shared" si="188"/>
        <v>100</v>
      </c>
    </row>
    <row r="448" spans="1:11" s="45" customFormat="1" ht="27">
      <c r="A448" s="123" t="s">
        <v>619</v>
      </c>
      <c r="B448" s="114" t="s">
        <v>432</v>
      </c>
      <c r="C448" s="114" t="s">
        <v>432</v>
      </c>
      <c r="D448" s="114" t="s">
        <v>254</v>
      </c>
      <c r="E448" s="114"/>
      <c r="F448" s="115">
        <f>F449</f>
        <v>6663</v>
      </c>
      <c r="G448" s="154">
        <f t="shared" si="197"/>
        <v>0</v>
      </c>
      <c r="H448" s="115">
        <f>H449</f>
        <v>6663</v>
      </c>
      <c r="I448" s="115">
        <f t="shared" ref="I448:J449" si="211">I449</f>
        <v>5385.2870000000003</v>
      </c>
      <c r="J448" s="115">
        <f t="shared" si="211"/>
        <v>6663</v>
      </c>
      <c r="K448" s="126">
        <f t="shared" si="188"/>
        <v>100</v>
      </c>
    </row>
    <row r="449" spans="1:11" s="45" customFormat="1" ht="24">
      <c r="A449" s="127" t="s">
        <v>341</v>
      </c>
      <c r="B449" s="111" t="s">
        <v>432</v>
      </c>
      <c r="C449" s="111" t="s">
        <v>432</v>
      </c>
      <c r="D449" s="111" t="s">
        <v>254</v>
      </c>
      <c r="E449" s="111"/>
      <c r="F449" s="112">
        <f>F450</f>
        <v>6663</v>
      </c>
      <c r="G449" s="154">
        <f t="shared" si="197"/>
        <v>0</v>
      </c>
      <c r="H449" s="112">
        <f>H450</f>
        <v>6663</v>
      </c>
      <c r="I449" s="112">
        <f t="shared" si="211"/>
        <v>5385.2870000000003</v>
      </c>
      <c r="J449" s="112">
        <f t="shared" si="211"/>
        <v>6663</v>
      </c>
      <c r="K449" s="112">
        <f t="shared" si="188"/>
        <v>100</v>
      </c>
    </row>
    <row r="450" spans="1:11" s="45" customFormat="1" ht="24">
      <c r="A450" s="124" t="s">
        <v>410</v>
      </c>
      <c r="B450" s="125" t="s">
        <v>432</v>
      </c>
      <c r="C450" s="125" t="s">
        <v>432</v>
      </c>
      <c r="D450" s="125" t="s">
        <v>254</v>
      </c>
      <c r="E450" s="125"/>
      <c r="F450" s="126">
        <f>F451+F454</f>
        <v>6663</v>
      </c>
      <c r="G450" s="154">
        <f t="shared" si="197"/>
        <v>0</v>
      </c>
      <c r="H450" s="126">
        <f>H451+H454</f>
        <v>6663</v>
      </c>
      <c r="I450" s="126">
        <f t="shared" ref="I450:J450" si="212">I451+I454</f>
        <v>5385.2870000000003</v>
      </c>
      <c r="J450" s="126">
        <f t="shared" si="212"/>
        <v>6663</v>
      </c>
      <c r="K450" s="126">
        <f t="shared" si="188"/>
        <v>100</v>
      </c>
    </row>
    <row r="451" spans="1:11" s="45" customFormat="1">
      <c r="A451" s="127" t="s">
        <v>392</v>
      </c>
      <c r="B451" s="111" t="s">
        <v>432</v>
      </c>
      <c r="C451" s="111" t="s">
        <v>432</v>
      </c>
      <c r="D451" s="111" t="s">
        <v>342</v>
      </c>
      <c r="E451" s="111"/>
      <c r="F451" s="112">
        <f>F452</f>
        <v>6470</v>
      </c>
      <c r="G451" s="154">
        <f t="shared" si="197"/>
        <v>0</v>
      </c>
      <c r="H451" s="112">
        <f>H452</f>
        <v>6470</v>
      </c>
      <c r="I451" s="112">
        <f t="shared" ref="I451:J452" si="213">I452</f>
        <v>5224.5720000000001</v>
      </c>
      <c r="J451" s="112">
        <f t="shared" si="213"/>
        <v>6470</v>
      </c>
      <c r="K451" s="112">
        <f t="shared" si="188"/>
        <v>100</v>
      </c>
    </row>
    <row r="452" spans="1:11" s="45" customFormat="1" ht="36">
      <c r="A452" s="119" t="s">
        <v>79</v>
      </c>
      <c r="B452" s="120" t="s">
        <v>432</v>
      </c>
      <c r="C452" s="120" t="s">
        <v>432</v>
      </c>
      <c r="D452" s="120" t="s">
        <v>342</v>
      </c>
      <c r="E452" s="120" t="s">
        <v>80</v>
      </c>
      <c r="F452" s="121">
        <f>F453</f>
        <v>6470</v>
      </c>
      <c r="G452" s="154">
        <f t="shared" si="197"/>
        <v>0</v>
      </c>
      <c r="H452" s="121">
        <f>H453</f>
        <v>6470</v>
      </c>
      <c r="I452" s="121">
        <f t="shared" si="213"/>
        <v>5224.5720000000001</v>
      </c>
      <c r="J452" s="121">
        <f t="shared" si="213"/>
        <v>6470</v>
      </c>
      <c r="K452" s="121">
        <f t="shared" si="188"/>
        <v>100</v>
      </c>
    </row>
    <row r="453" spans="1:11" s="45" customFormat="1">
      <c r="A453" s="119" t="s">
        <v>81</v>
      </c>
      <c r="B453" s="120" t="s">
        <v>432</v>
      </c>
      <c r="C453" s="120" t="s">
        <v>432</v>
      </c>
      <c r="D453" s="120" t="s">
        <v>342</v>
      </c>
      <c r="E453" s="120" t="s">
        <v>82</v>
      </c>
      <c r="F453" s="121">
        <f>4970+1500</f>
        <v>6470</v>
      </c>
      <c r="G453" s="154">
        <f t="shared" si="197"/>
        <v>0</v>
      </c>
      <c r="H453" s="121">
        <f>4970+1500</f>
        <v>6470</v>
      </c>
      <c r="I453" s="121">
        <v>5224.5720000000001</v>
      </c>
      <c r="J453" s="121">
        <f>4970+1500</f>
        <v>6470</v>
      </c>
      <c r="K453" s="121">
        <f t="shared" si="188"/>
        <v>100</v>
      </c>
    </row>
    <row r="454" spans="1:11" s="45" customFormat="1">
      <c r="A454" s="110" t="s">
        <v>83</v>
      </c>
      <c r="B454" s="111" t="s">
        <v>432</v>
      </c>
      <c r="C454" s="111" t="s">
        <v>432</v>
      </c>
      <c r="D454" s="111" t="s">
        <v>343</v>
      </c>
      <c r="E454" s="111"/>
      <c r="F454" s="112">
        <f>F455+F457</f>
        <v>193</v>
      </c>
      <c r="G454" s="154">
        <f t="shared" si="197"/>
        <v>0</v>
      </c>
      <c r="H454" s="112">
        <f>H455+H457</f>
        <v>193</v>
      </c>
      <c r="I454" s="112">
        <f t="shared" ref="I454:J454" si="214">I455+I457</f>
        <v>160.715</v>
      </c>
      <c r="J454" s="112">
        <f t="shared" si="214"/>
        <v>193</v>
      </c>
      <c r="K454" s="112">
        <f t="shared" ref="K454:K517" si="215">J454/H454*100</f>
        <v>100</v>
      </c>
    </row>
    <row r="455" spans="1:11" s="45" customFormat="1">
      <c r="A455" s="119" t="s">
        <v>301</v>
      </c>
      <c r="B455" s="120" t="s">
        <v>432</v>
      </c>
      <c r="C455" s="120" t="s">
        <v>432</v>
      </c>
      <c r="D455" s="120" t="s">
        <v>343</v>
      </c>
      <c r="E455" s="120" t="s">
        <v>84</v>
      </c>
      <c r="F455" s="121">
        <f>F456</f>
        <v>190</v>
      </c>
      <c r="G455" s="154">
        <f t="shared" si="197"/>
        <v>0</v>
      </c>
      <c r="H455" s="121">
        <f>H456</f>
        <v>190</v>
      </c>
      <c r="I455" s="121">
        <f t="shared" ref="I455:J455" si="216">I456</f>
        <v>160.715</v>
      </c>
      <c r="J455" s="121">
        <f t="shared" si="216"/>
        <v>190</v>
      </c>
      <c r="K455" s="121">
        <f t="shared" si="215"/>
        <v>100</v>
      </c>
    </row>
    <row r="456" spans="1:11" s="45" customFormat="1">
      <c r="A456" s="119" t="s">
        <v>85</v>
      </c>
      <c r="B456" s="120" t="s">
        <v>432</v>
      </c>
      <c r="C456" s="120" t="s">
        <v>432</v>
      </c>
      <c r="D456" s="120" t="s">
        <v>343</v>
      </c>
      <c r="E456" s="120" t="s">
        <v>86</v>
      </c>
      <c r="F456" s="121">
        <f>60+30+30+35+35</f>
        <v>190</v>
      </c>
      <c r="G456" s="154">
        <f t="shared" si="197"/>
        <v>0</v>
      </c>
      <c r="H456" s="121">
        <f>60+30+30+35+35</f>
        <v>190</v>
      </c>
      <c r="I456" s="121">
        <v>160.715</v>
      </c>
      <c r="J456" s="121">
        <f>60+30+30+35+35</f>
        <v>190</v>
      </c>
      <c r="K456" s="121">
        <f t="shared" si="215"/>
        <v>100</v>
      </c>
    </row>
    <row r="457" spans="1:11" s="45" customFormat="1">
      <c r="A457" s="119" t="s">
        <v>87</v>
      </c>
      <c r="B457" s="120" t="s">
        <v>432</v>
      </c>
      <c r="C457" s="120" t="s">
        <v>432</v>
      </c>
      <c r="D457" s="120" t="s">
        <v>343</v>
      </c>
      <c r="E457" s="120" t="s">
        <v>88</v>
      </c>
      <c r="F457" s="121">
        <f>F458</f>
        <v>3</v>
      </c>
      <c r="G457" s="154">
        <f t="shared" si="197"/>
        <v>0</v>
      </c>
      <c r="H457" s="121">
        <f>H458</f>
        <v>3</v>
      </c>
      <c r="I457" s="121">
        <f t="shared" ref="I457:J457" si="217">I458</f>
        <v>0</v>
      </c>
      <c r="J457" s="121">
        <f t="shared" si="217"/>
        <v>3</v>
      </c>
      <c r="K457" s="121">
        <f t="shared" si="215"/>
        <v>100</v>
      </c>
    </row>
    <row r="458" spans="1:11" s="45" customFormat="1">
      <c r="A458" s="119" t="s">
        <v>514</v>
      </c>
      <c r="B458" s="120" t="s">
        <v>432</v>
      </c>
      <c r="C458" s="120" t="s">
        <v>432</v>
      </c>
      <c r="D458" s="120" t="s">
        <v>343</v>
      </c>
      <c r="E458" s="120" t="s">
        <v>89</v>
      </c>
      <c r="F458" s="121">
        <v>3</v>
      </c>
      <c r="G458" s="154">
        <f t="shared" si="197"/>
        <v>0</v>
      </c>
      <c r="H458" s="121">
        <v>3</v>
      </c>
      <c r="I458" s="121">
        <v>0</v>
      </c>
      <c r="J458" s="121">
        <v>3</v>
      </c>
      <c r="K458" s="112">
        <f t="shared" si="215"/>
        <v>100</v>
      </c>
    </row>
    <row r="459" spans="1:11" s="45" customFormat="1" ht="40.5">
      <c r="A459" s="123" t="s">
        <v>699</v>
      </c>
      <c r="B459" s="114" t="s">
        <v>432</v>
      </c>
      <c r="C459" s="114" t="s">
        <v>432</v>
      </c>
      <c r="D459" s="114" t="s">
        <v>242</v>
      </c>
      <c r="E459" s="114"/>
      <c r="F459" s="115">
        <f>F460+F471</f>
        <v>21778.2</v>
      </c>
      <c r="G459" s="154">
        <f t="shared" si="197"/>
        <v>2578.8029999999999</v>
      </c>
      <c r="H459" s="115">
        <f>H460+H471</f>
        <v>24357.003000000001</v>
      </c>
      <c r="I459" s="115">
        <f t="shared" ref="I459:J459" si="218">I460+I471</f>
        <v>17692.525999999998</v>
      </c>
      <c r="J459" s="115">
        <f t="shared" si="218"/>
        <v>24357.003000000001</v>
      </c>
      <c r="K459" s="126">
        <f t="shared" si="215"/>
        <v>100</v>
      </c>
    </row>
    <row r="460" spans="1:11" s="45" customFormat="1">
      <c r="A460" s="110" t="s">
        <v>450</v>
      </c>
      <c r="B460" s="111" t="s">
        <v>432</v>
      </c>
      <c r="C460" s="111" t="s">
        <v>432</v>
      </c>
      <c r="D460" s="111" t="s">
        <v>126</v>
      </c>
      <c r="E460" s="120"/>
      <c r="F460" s="112">
        <f>F461</f>
        <v>14850</v>
      </c>
      <c r="G460" s="154">
        <f t="shared" si="197"/>
        <v>0</v>
      </c>
      <c r="H460" s="112">
        <f>H461</f>
        <v>14850</v>
      </c>
      <c r="I460" s="112">
        <f t="shared" ref="I460:J461" si="219">I461</f>
        <v>11256.455</v>
      </c>
      <c r="J460" s="112">
        <f t="shared" si="219"/>
        <v>14850</v>
      </c>
      <c r="K460" s="112">
        <f t="shared" si="215"/>
        <v>100</v>
      </c>
    </row>
    <row r="461" spans="1:11" s="45" customFormat="1" ht="24">
      <c r="A461" s="110" t="s">
        <v>250</v>
      </c>
      <c r="B461" s="111" t="s">
        <v>432</v>
      </c>
      <c r="C461" s="111" t="s">
        <v>432</v>
      </c>
      <c r="D461" s="111" t="s">
        <v>126</v>
      </c>
      <c r="E461" s="120"/>
      <c r="F461" s="112">
        <f>F462</f>
        <v>14850</v>
      </c>
      <c r="G461" s="154">
        <f t="shared" si="197"/>
        <v>0</v>
      </c>
      <c r="H461" s="112">
        <f>H462</f>
        <v>14850</v>
      </c>
      <c r="I461" s="112">
        <f t="shared" si="219"/>
        <v>11256.455</v>
      </c>
      <c r="J461" s="112">
        <f t="shared" si="219"/>
        <v>14850</v>
      </c>
      <c r="K461" s="112">
        <f t="shared" si="215"/>
        <v>100</v>
      </c>
    </row>
    <row r="462" spans="1:11" s="45" customFormat="1" ht="24">
      <c r="A462" s="124" t="s">
        <v>410</v>
      </c>
      <c r="B462" s="125" t="s">
        <v>432</v>
      </c>
      <c r="C462" s="125" t="s">
        <v>432</v>
      </c>
      <c r="D462" s="125" t="s">
        <v>126</v>
      </c>
      <c r="E462" s="125"/>
      <c r="F462" s="126">
        <f>F463+F466</f>
        <v>14850</v>
      </c>
      <c r="G462" s="154">
        <f t="shared" si="197"/>
        <v>0</v>
      </c>
      <c r="H462" s="126">
        <f>H463+H466</f>
        <v>14850</v>
      </c>
      <c r="I462" s="126">
        <f t="shared" ref="I462:J462" si="220">I463+I466</f>
        <v>11256.455</v>
      </c>
      <c r="J462" s="126">
        <f t="shared" si="220"/>
        <v>14850</v>
      </c>
      <c r="K462" s="126">
        <f t="shared" si="215"/>
        <v>100</v>
      </c>
    </row>
    <row r="463" spans="1:11" s="45" customFormat="1">
      <c r="A463" s="127" t="s">
        <v>392</v>
      </c>
      <c r="B463" s="111" t="s">
        <v>432</v>
      </c>
      <c r="C463" s="111" t="s">
        <v>432</v>
      </c>
      <c r="D463" s="111" t="s">
        <v>508</v>
      </c>
      <c r="E463" s="111"/>
      <c r="F463" s="112">
        <f>F464</f>
        <v>13650</v>
      </c>
      <c r="G463" s="154">
        <f t="shared" si="197"/>
        <v>0</v>
      </c>
      <c r="H463" s="112">
        <f>H464</f>
        <v>13650</v>
      </c>
      <c r="I463" s="112">
        <f t="shared" ref="I463:J464" si="221">I464</f>
        <v>10710.992</v>
      </c>
      <c r="J463" s="112">
        <f t="shared" si="221"/>
        <v>13650</v>
      </c>
      <c r="K463" s="112">
        <f t="shared" si="215"/>
        <v>100</v>
      </c>
    </row>
    <row r="464" spans="1:11" s="45" customFormat="1" ht="36">
      <c r="A464" s="119" t="s">
        <v>79</v>
      </c>
      <c r="B464" s="120" t="s">
        <v>432</v>
      </c>
      <c r="C464" s="120" t="s">
        <v>432</v>
      </c>
      <c r="D464" s="120" t="s">
        <v>508</v>
      </c>
      <c r="E464" s="120" t="s">
        <v>80</v>
      </c>
      <c r="F464" s="121">
        <f>F465</f>
        <v>13650</v>
      </c>
      <c r="G464" s="154">
        <f t="shared" si="197"/>
        <v>0</v>
      </c>
      <c r="H464" s="121">
        <f>H465</f>
        <v>13650</v>
      </c>
      <c r="I464" s="121">
        <f t="shared" si="221"/>
        <v>10710.992</v>
      </c>
      <c r="J464" s="121">
        <f t="shared" si="221"/>
        <v>13650</v>
      </c>
      <c r="K464" s="121">
        <f t="shared" si="215"/>
        <v>100</v>
      </c>
    </row>
    <row r="465" spans="1:11" s="45" customFormat="1">
      <c r="A465" s="119" t="s">
        <v>81</v>
      </c>
      <c r="B465" s="120" t="s">
        <v>432</v>
      </c>
      <c r="C465" s="120" t="s">
        <v>432</v>
      </c>
      <c r="D465" s="120" t="s">
        <v>508</v>
      </c>
      <c r="E465" s="120" t="s">
        <v>82</v>
      </c>
      <c r="F465" s="121">
        <f>10430+100+3120</f>
        <v>13650</v>
      </c>
      <c r="G465" s="154">
        <f t="shared" si="197"/>
        <v>0</v>
      </c>
      <c r="H465" s="121">
        <f>10430+100+3120</f>
        <v>13650</v>
      </c>
      <c r="I465" s="121">
        <v>10710.992</v>
      </c>
      <c r="J465" s="121">
        <f>10430+100+3120</f>
        <v>13650</v>
      </c>
      <c r="K465" s="121">
        <f t="shared" si="215"/>
        <v>100</v>
      </c>
    </row>
    <row r="466" spans="1:11" s="45" customFormat="1">
      <c r="A466" s="110" t="s">
        <v>83</v>
      </c>
      <c r="B466" s="111" t="s">
        <v>432</v>
      </c>
      <c r="C466" s="111" t="s">
        <v>432</v>
      </c>
      <c r="D466" s="111" t="s">
        <v>509</v>
      </c>
      <c r="E466" s="111"/>
      <c r="F466" s="112">
        <f>F467+F469</f>
        <v>1200</v>
      </c>
      <c r="G466" s="154">
        <f t="shared" si="197"/>
        <v>0</v>
      </c>
      <c r="H466" s="112">
        <f>H467+H469</f>
        <v>1200</v>
      </c>
      <c r="I466" s="112">
        <f t="shared" ref="I466:J466" si="222">I467+I469</f>
        <v>545.46299999999997</v>
      </c>
      <c r="J466" s="112">
        <f t="shared" si="222"/>
        <v>1200</v>
      </c>
      <c r="K466" s="112">
        <f t="shared" si="215"/>
        <v>100</v>
      </c>
    </row>
    <row r="467" spans="1:11" s="45" customFormat="1">
      <c r="A467" s="119" t="s">
        <v>301</v>
      </c>
      <c r="B467" s="120" t="s">
        <v>432</v>
      </c>
      <c r="C467" s="120" t="s">
        <v>432</v>
      </c>
      <c r="D467" s="120" t="s">
        <v>509</v>
      </c>
      <c r="E467" s="120" t="s">
        <v>84</v>
      </c>
      <c r="F467" s="121">
        <f>F468</f>
        <v>1170</v>
      </c>
      <c r="G467" s="154">
        <f t="shared" si="197"/>
        <v>0</v>
      </c>
      <c r="H467" s="121">
        <f>H468</f>
        <v>1170</v>
      </c>
      <c r="I467" s="121">
        <f t="shared" ref="I467:J467" si="223">I468</f>
        <v>544.62900000000002</v>
      </c>
      <c r="J467" s="121">
        <f t="shared" si="223"/>
        <v>1170</v>
      </c>
      <c r="K467" s="121">
        <f t="shared" si="215"/>
        <v>100</v>
      </c>
    </row>
    <row r="468" spans="1:11" s="45" customFormat="1">
      <c r="A468" s="119" t="s">
        <v>85</v>
      </c>
      <c r="B468" s="120" t="s">
        <v>432</v>
      </c>
      <c r="C468" s="120" t="s">
        <v>432</v>
      </c>
      <c r="D468" s="120" t="s">
        <v>509</v>
      </c>
      <c r="E468" s="120" t="s">
        <v>86</v>
      </c>
      <c r="F468" s="121">
        <f>270+150+350+70+330</f>
        <v>1170</v>
      </c>
      <c r="G468" s="154">
        <f t="shared" si="197"/>
        <v>0</v>
      </c>
      <c r="H468" s="121">
        <f>270+150+350+70+330</f>
        <v>1170</v>
      </c>
      <c r="I468" s="121">
        <v>544.62900000000002</v>
      </c>
      <c r="J468" s="121">
        <f>270+150+350+70+330</f>
        <v>1170</v>
      </c>
      <c r="K468" s="121">
        <f t="shared" si="215"/>
        <v>100</v>
      </c>
    </row>
    <row r="469" spans="1:11" s="45" customFormat="1">
      <c r="A469" s="119" t="s">
        <v>87</v>
      </c>
      <c r="B469" s="120" t="s">
        <v>432</v>
      </c>
      <c r="C469" s="120" t="s">
        <v>432</v>
      </c>
      <c r="D469" s="120" t="s">
        <v>509</v>
      </c>
      <c r="E469" s="120" t="s">
        <v>88</v>
      </c>
      <c r="F469" s="121">
        <f>F470</f>
        <v>30</v>
      </c>
      <c r="G469" s="154">
        <f t="shared" si="197"/>
        <v>0</v>
      </c>
      <c r="H469" s="121">
        <f>H470</f>
        <v>30</v>
      </c>
      <c r="I469" s="121">
        <f t="shared" ref="I469:J469" si="224">I470</f>
        <v>0.83399999999999996</v>
      </c>
      <c r="J469" s="121">
        <f t="shared" si="224"/>
        <v>30</v>
      </c>
      <c r="K469" s="121">
        <f t="shared" si="215"/>
        <v>100</v>
      </c>
    </row>
    <row r="470" spans="1:11" s="45" customFormat="1">
      <c r="A470" s="119" t="s">
        <v>514</v>
      </c>
      <c r="B470" s="120" t="s">
        <v>432</v>
      </c>
      <c r="C470" s="120" t="s">
        <v>432</v>
      </c>
      <c r="D470" s="120" t="s">
        <v>509</v>
      </c>
      <c r="E470" s="120" t="s">
        <v>89</v>
      </c>
      <c r="F470" s="121">
        <v>30</v>
      </c>
      <c r="G470" s="154">
        <f t="shared" si="197"/>
        <v>0</v>
      </c>
      <c r="H470" s="121">
        <v>30</v>
      </c>
      <c r="I470" s="121">
        <v>0.83399999999999996</v>
      </c>
      <c r="J470" s="121">
        <v>30</v>
      </c>
      <c r="K470" s="121">
        <f t="shared" si="215"/>
        <v>100</v>
      </c>
    </row>
    <row r="471" spans="1:11" s="45" customFormat="1">
      <c r="A471" s="141" t="s">
        <v>61</v>
      </c>
      <c r="B471" s="111" t="s">
        <v>432</v>
      </c>
      <c r="C471" s="111" t="s">
        <v>432</v>
      </c>
      <c r="D471" s="142" t="s">
        <v>670</v>
      </c>
      <c r="E471" s="111"/>
      <c r="F471" s="112">
        <f>F472</f>
        <v>6928.2</v>
      </c>
      <c r="G471" s="154">
        <f t="shared" si="197"/>
        <v>2578.8030000000008</v>
      </c>
      <c r="H471" s="112">
        <f>H472</f>
        <v>9507.0030000000006</v>
      </c>
      <c r="I471" s="112">
        <f t="shared" ref="I471:J471" si="225">I472</f>
        <v>6436.0709999999999</v>
      </c>
      <c r="J471" s="112">
        <f t="shared" si="225"/>
        <v>9507.0030000000006</v>
      </c>
      <c r="K471" s="112">
        <f t="shared" si="215"/>
        <v>100</v>
      </c>
    </row>
    <row r="472" spans="1:11" s="45" customFormat="1">
      <c r="A472" s="143" t="s">
        <v>485</v>
      </c>
      <c r="B472" s="139" t="s">
        <v>432</v>
      </c>
      <c r="C472" s="139" t="s">
        <v>432</v>
      </c>
      <c r="D472" s="139" t="s">
        <v>670</v>
      </c>
      <c r="E472" s="139"/>
      <c r="F472" s="144">
        <f>F473+F475+F477</f>
        <v>6928.2</v>
      </c>
      <c r="G472" s="154">
        <f t="shared" si="197"/>
        <v>2578.8030000000008</v>
      </c>
      <c r="H472" s="144">
        <f>H473+H475+H477</f>
        <v>9507.0030000000006</v>
      </c>
      <c r="I472" s="144">
        <f t="shared" ref="I472:J472" si="226">I473+I475+I477</f>
        <v>6436.0709999999999</v>
      </c>
      <c r="J472" s="144">
        <f t="shared" si="226"/>
        <v>9507.0030000000006</v>
      </c>
      <c r="K472" s="144">
        <f t="shared" si="215"/>
        <v>100</v>
      </c>
    </row>
    <row r="473" spans="1:11" s="45" customFormat="1" ht="36">
      <c r="A473" s="119" t="s">
        <v>79</v>
      </c>
      <c r="B473" s="120" t="s">
        <v>432</v>
      </c>
      <c r="C473" s="120" t="s">
        <v>432</v>
      </c>
      <c r="D473" s="120" t="s">
        <v>670</v>
      </c>
      <c r="E473" s="120" t="s">
        <v>80</v>
      </c>
      <c r="F473" s="121">
        <f>F474</f>
        <v>5126</v>
      </c>
      <c r="G473" s="154">
        <f t="shared" si="197"/>
        <v>1500.4064500000004</v>
      </c>
      <c r="H473" s="121">
        <f>H474</f>
        <v>6626.4064500000004</v>
      </c>
      <c r="I473" s="121">
        <f t="shared" ref="I473:J473" si="227">I474</f>
        <v>4609.1909999999998</v>
      </c>
      <c r="J473" s="121">
        <f t="shared" si="227"/>
        <v>6626.4064500000004</v>
      </c>
      <c r="K473" s="121">
        <f t="shared" si="215"/>
        <v>100</v>
      </c>
    </row>
    <row r="474" spans="1:11" s="45" customFormat="1">
      <c r="A474" s="119" t="s">
        <v>486</v>
      </c>
      <c r="B474" s="120" t="s">
        <v>432</v>
      </c>
      <c r="C474" s="120" t="s">
        <v>432</v>
      </c>
      <c r="D474" s="120" t="s">
        <v>670</v>
      </c>
      <c r="E474" s="120" t="s">
        <v>487</v>
      </c>
      <c r="F474" s="121">
        <f>2816+850+1120+340</f>
        <v>5126</v>
      </c>
      <c r="G474" s="154">
        <f t="shared" si="197"/>
        <v>1500.4064500000004</v>
      </c>
      <c r="H474" s="121">
        <f>2816+850+1120+340+1500.40645</f>
        <v>6626.4064500000004</v>
      </c>
      <c r="I474" s="121">
        <v>4609.1909999999998</v>
      </c>
      <c r="J474" s="121">
        <f>2816+850+1120+340+1500.40645</f>
        <v>6626.4064500000004</v>
      </c>
      <c r="K474" s="121">
        <f t="shared" si="215"/>
        <v>100</v>
      </c>
    </row>
    <row r="475" spans="1:11" s="45" customFormat="1">
      <c r="A475" s="119" t="s">
        <v>301</v>
      </c>
      <c r="B475" s="120" t="s">
        <v>432</v>
      </c>
      <c r="C475" s="120" t="s">
        <v>432</v>
      </c>
      <c r="D475" s="120" t="s">
        <v>670</v>
      </c>
      <c r="E475" s="120" t="s">
        <v>84</v>
      </c>
      <c r="F475" s="121">
        <f>F476</f>
        <v>1273.2</v>
      </c>
      <c r="G475" s="154">
        <f t="shared" si="197"/>
        <v>700.09655000000021</v>
      </c>
      <c r="H475" s="121">
        <f>H476</f>
        <v>1973.2965500000003</v>
      </c>
      <c r="I475" s="121">
        <f t="shared" ref="I475:J475" si="228">I476</f>
        <v>1017.119</v>
      </c>
      <c r="J475" s="121">
        <f t="shared" si="228"/>
        <v>1973.2965500000003</v>
      </c>
      <c r="K475" s="121">
        <f t="shared" si="215"/>
        <v>100</v>
      </c>
    </row>
    <row r="476" spans="1:11" s="45" customFormat="1">
      <c r="A476" s="119" t="s">
        <v>85</v>
      </c>
      <c r="B476" s="120" t="s">
        <v>432</v>
      </c>
      <c r="C476" s="120" t="s">
        <v>432</v>
      </c>
      <c r="D476" s="120" t="s">
        <v>670</v>
      </c>
      <c r="E476" s="120" t="s">
        <v>86</v>
      </c>
      <c r="F476" s="121">
        <f>78.7+69+120+194.5+20+3+80+30+30+648</f>
        <v>1273.2</v>
      </c>
      <c r="G476" s="154">
        <f t="shared" si="197"/>
        <v>700.09655000000021</v>
      </c>
      <c r="H476" s="121">
        <f>78.7+69+120+194.5+20+3+80+30+30+648+708.39655-8.3</f>
        <v>1973.2965500000003</v>
      </c>
      <c r="I476" s="121">
        <v>1017.119</v>
      </c>
      <c r="J476" s="121">
        <f>78.7+69+120+194.5+20+3+80+30+30+648+708.39655-8.3</f>
        <v>1973.2965500000003</v>
      </c>
      <c r="K476" s="121">
        <f t="shared" si="215"/>
        <v>100</v>
      </c>
    </row>
    <row r="477" spans="1:11" s="45" customFormat="1">
      <c r="A477" s="119" t="s">
        <v>87</v>
      </c>
      <c r="B477" s="120" t="s">
        <v>432</v>
      </c>
      <c r="C477" s="120" t="s">
        <v>432</v>
      </c>
      <c r="D477" s="120" t="s">
        <v>670</v>
      </c>
      <c r="E477" s="120" t="s">
        <v>88</v>
      </c>
      <c r="F477" s="121">
        <f>F478</f>
        <v>529</v>
      </c>
      <c r="G477" s="154">
        <f t="shared" si="197"/>
        <v>378.29999999999995</v>
      </c>
      <c r="H477" s="121">
        <f>H478</f>
        <v>907.3</v>
      </c>
      <c r="I477" s="121">
        <f t="shared" ref="I477:J477" si="229">I478</f>
        <v>809.76099999999997</v>
      </c>
      <c r="J477" s="121">
        <f t="shared" si="229"/>
        <v>907.3</v>
      </c>
      <c r="K477" s="121">
        <f t="shared" si="215"/>
        <v>100</v>
      </c>
    </row>
    <row r="478" spans="1:11" s="45" customFormat="1">
      <c r="A478" s="119" t="s">
        <v>514</v>
      </c>
      <c r="B478" s="120" t="s">
        <v>432</v>
      </c>
      <c r="C478" s="120" t="s">
        <v>432</v>
      </c>
      <c r="D478" s="120" t="s">
        <v>670</v>
      </c>
      <c r="E478" s="120" t="s">
        <v>89</v>
      </c>
      <c r="F478" s="121">
        <f>520+9</f>
        <v>529</v>
      </c>
      <c r="G478" s="154">
        <f t="shared" si="197"/>
        <v>378.29999999999995</v>
      </c>
      <c r="H478" s="121">
        <f>520+9+8.3+370</f>
        <v>907.3</v>
      </c>
      <c r="I478" s="121">
        <v>809.76099999999997</v>
      </c>
      <c r="J478" s="121">
        <f>520+9+8.3+370</f>
        <v>907.3</v>
      </c>
      <c r="K478" s="121">
        <f t="shared" si="215"/>
        <v>100</v>
      </c>
    </row>
    <row r="479" spans="1:11" s="45" customFormat="1">
      <c r="A479" s="145" t="s">
        <v>74</v>
      </c>
      <c r="B479" s="125" t="s">
        <v>432</v>
      </c>
      <c r="C479" s="125" t="s">
        <v>432</v>
      </c>
      <c r="D479" s="125" t="s">
        <v>214</v>
      </c>
      <c r="E479" s="125"/>
      <c r="F479" s="126">
        <f>F480</f>
        <v>6630</v>
      </c>
      <c r="G479" s="154">
        <f t="shared" si="197"/>
        <v>0</v>
      </c>
      <c r="H479" s="126">
        <f>H480</f>
        <v>6630</v>
      </c>
      <c r="I479" s="126">
        <f t="shared" ref="I479:J479" si="230">I480</f>
        <v>4525.4229999999998</v>
      </c>
      <c r="J479" s="126">
        <f t="shared" si="230"/>
        <v>6630</v>
      </c>
      <c r="K479" s="126">
        <f t="shared" si="215"/>
        <v>100</v>
      </c>
    </row>
    <row r="480" spans="1:11" s="45" customFormat="1">
      <c r="A480" s="127" t="s">
        <v>304</v>
      </c>
      <c r="B480" s="111" t="s">
        <v>432</v>
      </c>
      <c r="C480" s="111" t="s">
        <v>432</v>
      </c>
      <c r="D480" s="111" t="s">
        <v>215</v>
      </c>
      <c r="E480" s="120"/>
      <c r="F480" s="112">
        <f>F481+F484</f>
        <v>6630</v>
      </c>
      <c r="G480" s="154">
        <f t="shared" si="197"/>
        <v>0</v>
      </c>
      <c r="H480" s="112">
        <f>H481+H484</f>
        <v>6630</v>
      </c>
      <c r="I480" s="112">
        <f t="shared" ref="I480:J480" si="231">I481+I484</f>
        <v>4525.4229999999998</v>
      </c>
      <c r="J480" s="112">
        <f t="shared" si="231"/>
        <v>6630</v>
      </c>
      <c r="K480" s="112">
        <f t="shared" si="215"/>
        <v>100</v>
      </c>
    </row>
    <row r="481" spans="1:11" s="45" customFormat="1">
      <c r="A481" s="127" t="s">
        <v>392</v>
      </c>
      <c r="B481" s="111" t="s">
        <v>432</v>
      </c>
      <c r="C481" s="111" t="s">
        <v>432</v>
      </c>
      <c r="D481" s="111" t="s">
        <v>216</v>
      </c>
      <c r="E481" s="111"/>
      <c r="F481" s="112">
        <f>F482</f>
        <v>5670</v>
      </c>
      <c r="G481" s="154">
        <f t="shared" si="197"/>
        <v>0</v>
      </c>
      <c r="H481" s="112">
        <f>H482</f>
        <v>5670</v>
      </c>
      <c r="I481" s="112">
        <f t="shared" ref="I481:J482" si="232">I482</f>
        <v>4143.5</v>
      </c>
      <c r="J481" s="112">
        <f t="shared" si="232"/>
        <v>5670</v>
      </c>
      <c r="K481" s="112">
        <f t="shared" si="215"/>
        <v>100</v>
      </c>
    </row>
    <row r="482" spans="1:11" s="45" customFormat="1" ht="36">
      <c r="A482" s="119" t="s">
        <v>79</v>
      </c>
      <c r="B482" s="120" t="s">
        <v>432</v>
      </c>
      <c r="C482" s="120" t="s">
        <v>432</v>
      </c>
      <c r="D482" s="120" t="s">
        <v>216</v>
      </c>
      <c r="E482" s="120" t="s">
        <v>80</v>
      </c>
      <c r="F482" s="121">
        <f>F483</f>
        <v>5670</v>
      </c>
      <c r="G482" s="154">
        <f t="shared" si="197"/>
        <v>0</v>
      </c>
      <c r="H482" s="121">
        <f>H483</f>
        <v>5670</v>
      </c>
      <c r="I482" s="121">
        <f t="shared" si="232"/>
        <v>4143.5</v>
      </c>
      <c r="J482" s="121">
        <f t="shared" si="232"/>
        <v>5670</v>
      </c>
      <c r="K482" s="121">
        <f t="shared" si="215"/>
        <v>100</v>
      </c>
    </row>
    <row r="483" spans="1:11" s="45" customFormat="1">
      <c r="A483" s="119" t="s">
        <v>81</v>
      </c>
      <c r="B483" s="120" t="s">
        <v>432</v>
      </c>
      <c r="C483" s="120" t="s">
        <v>432</v>
      </c>
      <c r="D483" s="120" t="s">
        <v>216</v>
      </c>
      <c r="E483" s="120" t="s">
        <v>82</v>
      </c>
      <c r="F483" s="121">
        <f>4300+20+1300+20+30</f>
        <v>5670</v>
      </c>
      <c r="G483" s="154">
        <f t="shared" si="197"/>
        <v>0</v>
      </c>
      <c r="H483" s="121">
        <f>4300+20+1300+20+30</f>
        <v>5670</v>
      </c>
      <c r="I483" s="121">
        <v>4143.5</v>
      </c>
      <c r="J483" s="121">
        <f>4300+20+1300+20+30</f>
        <v>5670</v>
      </c>
      <c r="K483" s="121">
        <f t="shared" si="215"/>
        <v>100</v>
      </c>
    </row>
    <row r="484" spans="1:11" s="45" customFormat="1">
      <c r="A484" s="110" t="s">
        <v>83</v>
      </c>
      <c r="B484" s="111" t="s">
        <v>432</v>
      </c>
      <c r="C484" s="111" t="s">
        <v>432</v>
      </c>
      <c r="D484" s="111" t="s">
        <v>217</v>
      </c>
      <c r="E484" s="111"/>
      <c r="F484" s="112">
        <f>F485+F487</f>
        <v>960</v>
      </c>
      <c r="G484" s="154">
        <f t="shared" ref="G484:G546" si="233">H484-F484</f>
        <v>0</v>
      </c>
      <c r="H484" s="112">
        <f>H485+H487</f>
        <v>960</v>
      </c>
      <c r="I484" s="112">
        <f t="shared" ref="I484:J484" si="234">I485+I487</f>
        <v>381.923</v>
      </c>
      <c r="J484" s="112">
        <f t="shared" si="234"/>
        <v>960</v>
      </c>
      <c r="K484" s="112">
        <f t="shared" si="215"/>
        <v>100</v>
      </c>
    </row>
    <row r="485" spans="1:11" s="45" customFormat="1">
      <c r="A485" s="119" t="s">
        <v>301</v>
      </c>
      <c r="B485" s="120" t="s">
        <v>432</v>
      </c>
      <c r="C485" s="120" t="s">
        <v>432</v>
      </c>
      <c r="D485" s="120" t="s">
        <v>217</v>
      </c>
      <c r="E485" s="120" t="s">
        <v>84</v>
      </c>
      <c r="F485" s="121">
        <f>F486</f>
        <v>810</v>
      </c>
      <c r="G485" s="154">
        <f t="shared" si="233"/>
        <v>0</v>
      </c>
      <c r="H485" s="121">
        <f>H486</f>
        <v>810</v>
      </c>
      <c r="I485" s="121">
        <f t="shared" ref="I485:J485" si="235">I486</f>
        <v>381.755</v>
      </c>
      <c r="J485" s="121">
        <f t="shared" si="235"/>
        <v>810</v>
      </c>
      <c r="K485" s="121">
        <f t="shared" si="215"/>
        <v>100</v>
      </c>
    </row>
    <row r="486" spans="1:11" s="45" customFormat="1">
      <c r="A486" s="119" t="s">
        <v>85</v>
      </c>
      <c r="B486" s="120" t="s">
        <v>432</v>
      </c>
      <c r="C486" s="120" t="s">
        <v>432</v>
      </c>
      <c r="D486" s="120" t="s">
        <v>217</v>
      </c>
      <c r="E486" s="120" t="s">
        <v>86</v>
      </c>
      <c r="F486" s="121">
        <f>60+50+300+300+100</f>
        <v>810</v>
      </c>
      <c r="G486" s="154">
        <f t="shared" si="233"/>
        <v>0</v>
      </c>
      <c r="H486" s="121">
        <f>60+50+300+300+100</f>
        <v>810</v>
      </c>
      <c r="I486" s="121">
        <v>381.755</v>
      </c>
      <c r="J486" s="121">
        <f>60+50+300+300+100</f>
        <v>810</v>
      </c>
      <c r="K486" s="121">
        <f t="shared" si="215"/>
        <v>100</v>
      </c>
    </row>
    <row r="487" spans="1:11" s="45" customFormat="1">
      <c r="A487" s="119" t="s">
        <v>87</v>
      </c>
      <c r="B487" s="120" t="s">
        <v>432</v>
      </c>
      <c r="C487" s="120" t="s">
        <v>432</v>
      </c>
      <c r="D487" s="120" t="s">
        <v>217</v>
      </c>
      <c r="E487" s="120" t="s">
        <v>88</v>
      </c>
      <c r="F487" s="121">
        <f>F488</f>
        <v>150</v>
      </c>
      <c r="G487" s="154">
        <f t="shared" si="233"/>
        <v>0</v>
      </c>
      <c r="H487" s="121">
        <f>H488</f>
        <v>150</v>
      </c>
      <c r="I487" s="121">
        <f t="shared" ref="I487:J487" si="236">I488</f>
        <v>0.16800000000000001</v>
      </c>
      <c r="J487" s="121">
        <f t="shared" si="236"/>
        <v>150</v>
      </c>
      <c r="K487" s="121">
        <f t="shared" si="215"/>
        <v>100</v>
      </c>
    </row>
    <row r="488" spans="1:11" s="45" customFormat="1">
      <c r="A488" s="119" t="s">
        <v>514</v>
      </c>
      <c r="B488" s="120" t="s">
        <v>432</v>
      </c>
      <c r="C488" s="120" t="s">
        <v>432</v>
      </c>
      <c r="D488" s="120" t="s">
        <v>217</v>
      </c>
      <c r="E488" s="120" t="s">
        <v>89</v>
      </c>
      <c r="F488" s="121">
        <v>150</v>
      </c>
      <c r="G488" s="154">
        <f t="shared" si="233"/>
        <v>0</v>
      </c>
      <c r="H488" s="121">
        <v>150</v>
      </c>
      <c r="I488" s="121">
        <v>0.16800000000000001</v>
      </c>
      <c r="J488" s="121">
        <v>150</v>
      </c>
      <c r="K488" s="121">
        <f t="shared" si="215"/>
        <v>100</v>
      </c>
    </row>
    <row r="489" spans="1:11" s="45" customFormat="1">
      <c r="A489" s="110" t="s">
        <v>381</v>
      </c>
      <c r="B489" s="111" t="s">
        <v>490</v>
      </c>
      <c r="C489" s="111" t="s">
        <v>77</v>
      </c>
      <c r="D489" s="120"/>
      <c r="E489" s="120"/>
      <c r="F489" s="154" t="e">
        <f>F490+F508+F532+F545+F566</f>
        <v>#REF!</v>
      </c>
      <c r="G489" s="154" t="e">
        <f t="shared" si="233"/>
        <v>#REF!</v>
      </c>
      <c r="H489" s="154">
        <f>H490+H508+H532+H545+H566</f>
        <v>3035092.5575199998</v>
      </c>
      <c r="I489" s="154">
        <f>I490+I508+I532+I545+I566</f>
        <v>2231670.7803999996</v>
      </c>
      <c r="J489" s="154">
        <f>J490+J508+J532+J545+J566</f>
        <v>2872165.1075199996</v>
      </c>
      <c r="K489" s="112">
        <f t="shared" si="215"/>
        <v>94.631878701810351</v>
      </c>
    </row>
    <row r="490" spans="1:11" s="45" customFormat="1">
      <c r="A490" s="110" t="s">
        <v>382</v>
      </c>
      <c r="B490" s="111" t="s">
        <v>490</v>
      </c>
      <c r="C490" s="111" t="s">
        <v>76</v>
      </c>
      <c r="D490" s="111"/>
      <c r="E490" s="111"/>
      <c r="F490" s="112">
        <f>F491+F504</f>
        <v>1243764.98</v>
      </c>
      <c r="G490" s="154">
        <f t="shared" si="233"/>
        <v>-17802.524999999907</v>
      </c>
      <c r="H490" s="112">
        <f>H491+H504</f>
        <v>1225962.4550000001</v>
      </c>
      <c r="I490" s="112">
        <f t="shared" ref="I490:J490" si="237">I491+I504</f>
        <v>868906.30700000003</v>
      </c>
      <c r="J490" s="112">
        <f t="shared" si="237"/>
        <v>1130836.8049999999</v>
      </c>
      <c r="K490" s="112">
        <f t="shared" si="215"/>
        <v>92.240737095003439</v>
      </c>
    </row>
    <row r="491" spans="1:11" s="45" customFormat="1" ht="27">
      <c r="A491" s="123" t="s">
        <v>691</v>
      </c>
      <c r="B491" s="114" t="s">
        <v>490</v>
      </c>
      <c r="C491" s="114" t="s">
        <v>76</v>
      </c>
      <c r="D491" s="114" t="s">
        <v>162</v>
      </c>
      <c r="E491" s="114"/>
      <c r="F491" s="115">
        <f>F492</f>
        <v>1243264.98</v>
      </c>
      <c r="G491" s="154">
        <f t="shared" si="233"/>
        <v>-18302.524999999907</v>
      </c>
      <c r="H491" s="115">
        <f>H492</f>
        <v>1224962.4550000001</v>
      </c>
      <c r="I491" s="115">
        <f t="shared" ref="I491:J491" si="238">I492</f>
        <v>867906.30700000003</v>
      </c>
      <c r="J491" s="115">
        <f t="shared" si="238"/>
        <v>1129836.8049999999</v>
      </c>
      <c r="K491" s="115">
        <f t="shared" si="215"/>
        <v>92.234402808696686</v>
      </c>
    </row>
    <row r="492" spans="1:11" s="45" customFormat="1">
      <c r="A492" s="110" t="s">
        <v>273</v>
      </c>
      <c r="B492" s="111" t="s">
        <v>490</v>
      </c>
      <c r="C492" s="111" t="s">
        <v>76</v>
      </c>
      <c r="D492" s="111" t="s">
        <v>163</v>
      </c>
      <c r="E492" s="111"/>
      <c r="F492" s="112">
        <f>F493+F497</f>
        <v>1243264.98</v>
      </c>
      <c r="G492" s="154">
        <f t="shared" si="233"/>
        <v>-18302.524999999907</v>
      </c>
      <c r="H492" s="112">
        <f>H493+H497+H501</f>
        <v>1224962.4550000001</v>
      </c>
      <c r="I492" s="112">
        <f t="shared" ref="I492:J492" si="239">I493+I497+I501</f>
        <v>867906.30700000003</v>
      </c>
      <c r="J492" s="112">
        <f t="shared" si="239"/>
        <v>1129836.8049999999</v>
      </c>
      <c r="K492" s="112">
        <f t="shared" si="215"/>
        <v>92.234402808696686</v>
      </c>
    </row>
    <row r="493" spans="1:11" s="45" customFormat="1" ht="24">
      <c r="A493" s="124" t="s">
        <v>274</v>
      </c>
      <c r="B493" s="125" t="s">
        <v>490</v>
      </c>
      <c r="C493" s="125" t="s">
        <v>76</v>
      </c>
      <c r="D493" s="125" t="s">
        <v>164</v>
      </c>
      <c r="E493" s="125"/>
      <c r="F493" s="126">
        <f>F494</f>
        <v>485270.98</v>
      </c>
      <c r="G493" s="154">
        <f t="shared" si="233"/>
        <v>-20450.024999999965</v>
      </c>
      <c r="H493" s="126">
        <f>H494</f>
        <v>464820.95500000002</v>
      </c>
      <c r="I493" s="126">
        <f t="shared" ref="I493:J493" si="240">I494</f>
        <v>302181.15899999999</v>
      </c>
      <c r="J493" s="126">
        <f t="shared" si="240"/>
        <v>409814.05499999999</v>
      </c>
      <c r="K493" s="126">
        <f t="shared" si="215"/>
        <v>88.16600254177439</v>
      </c>
    </row>
    <row r="494" spans="1:11" s="45" customFormat="1" ht="24">
      <c r="A494" s="119" t="s">
        <v>104</v>
      </c>
      <c r="B494" s="120" t="s">
        <v>490</v>
      </c>
      <c r="C494" s="120" t="s">
        <v>76</v>
      </c>
      <c r="D494" s="120" t="s">
        <v>681</v>
      </c>
      <c r="E494" s="120" t="s">
        <v>408</v>
      </c>
      <c r="F494" s="121">
        <f>F495+F496</f>
        <v>485270.98</v>
      </c>
      <c r="G494" s="154">
        <f t="shared" si="233"/>
        <v>-20450.024999999965</v>
      </c>
      <c r="H494" s="121">
        <f>H495+H496</f>
        <v>464820.95500000002</v>
      </c>
      <c r="I494" s="121">
        <f t="shared" ref="I494:J494" si="241">I495+I496</f>
        <v>302181.15899999999</v>
      </c>
      <c r="J494" s="121">
        <f t="shared" si="241"/>
        <v>409814.05499999999</v>
      </c>
      <c r="K494" s="121">
        <f t="shared" si="215"/>
        <v>88.16600254177439</v>
      </c>
    </row>
    <row r="495" spans="1:11" s="45" customFormat="1">
      <c r="A495" s="119" t="s">
        <v>105</v>
      </c>
      <c r="B495" s="120" t="s">
        <v>490</v>
      </c>
      <c r="C495" s="120" t="s">
        <v>76</v>
      </c>
      <c r="D495" s="120" t="s">
        <v>681</v>
      </c>
      <c r="E495" s="120" t="s">
        <v>425</v>
      </c>
      <c r="F495" s="121">
        <f>386354.38+55200</f>
        <v>441554.38</v>
      </c>
      <c r="G495" s="154">
        <f t="shared" si="233"/>
        <v>-20450.025599999994</v>
      </c>
      <c r="H495" s="121">
        <f>441554.3544-15450-5000</f>
        <v>421104.35440000001</v>
      </c>
      <c r="I495" s="121">
        <v>271318.54800000001</v>
      </c>
      <c r="J495" s="121">
        <f>441554.3544-15450-5000-55006.9</f>
        <v>366097.45439999999</v>
      </c>
      <c r="K495" s="121">
        <f t="shared" si="215"/>
        <v>86.937465873898361</v>
      </c>
    </row>
    <row r="496" spans="1:11" s="45" customFormat="1">
      <c r="A496" s="119" t="s">
        <v>516</v>
      </c>
      <c r="B496" s="120" t="s">
        <v>490</v>
      </c>
      <c r="C496" s="120" t="s">
        <v>76</v>
      </c>
      <c r="D496" s="120" t="s">
        <v>681</v>
      </c>
      <c r="E496" s="120" t="s">
        <v>517</v>
      </c>
      <c r="F496" s="121">
        <f>38916.6+4800</f>
        <v>43716.6</v>
      </c>
      <c r="G496" s="154">
        <f t="shared" si="233"/>
        <v>5.9999999939464033E-4</v>
      </c>
      <c r="H496" s="121">
        <v>43716.600599999998</v>
      </c>
      <c r="I496" s="121">
        <v>30862.611000000001</v>
      </c>
      <c r="J496" s="121">
        <v>43716.600599999998</v>
      </c>
      <c r="K496" s="121">
        <f t="shared" si="215"/>
        <v>100</v>
      </c>
    </row>
    <row r="497" spans="1:11" s="45" customFormat="1" ht="36">
      <c r="A497" s="124" t="s">
        <v>364</v>
      </c>
      <c r="B497" s="125" t="s">
        <v>490</v>
      </c>
      <c r="C497" s="125" t="s">
        <v>76</v>
      </c>
      <c r="D497" s="125" t="s">
        <v>165</v>
      </c>
      <c r="E497" s="125"/>
      <c r="F497" s="126">
        <f>F498</f>
        <v>757994</v>
      </c>
      <c r="G497" s="154">
        <f t="shared" si="233"/>
        <v>436</v>
      </c>
      <c r="H497" s="126">
        <f>H498</f>
        <v>758430</v>
      </c>
      <c r="I497" s="126">
        <f t="shared" ref="I497:J497" si="242">I498</f>
        <v>564013.64800000004</v>
      </c>
      <c r="J497" s="126">
        <f t="shared" si="242"/>
        <v>718311.25</v>
      </c>
      <c r="K497" s="126">
        <f t="shared" si="215"/>
        <v>94.71028967735981</v>
      </c>
    </row>
    <row r="498" spans="1:11" s="45" customFormat="1" ht="24">
      <c r="A498" s="119" t="s">
        <v>104</v>
      </c>
      <c r="B498" s="120" t="s">
        <v>490</v>
      </c>
      <c r="C498" s="120" t="s">
        <v>76</v>
      </c>
      <c r="D498" s="120" t="s">
        <v>165</v>
      </c>
      <c r="E498" s="120" t="s">
        <v>408</v>
      </c>
      <c r="F498" s="121">
        <f>F499+F500</f>
        <v>757994</v>
      </c>
      <c r="G498" s="154">
        <f t="shared" si="233"/>
        <v>436</v>
      </c>
      <c r="H498" s="121">
        <f>H499+H500</f>
        <v>758430</v>
      </c>
      <c r="I498" s="121">
        <f t="shared" ref="I498:J498" si="243">I499+I500</f>
        <v>564013.64800000004</v>
      </c>
      <c r="J498" s="121">
        <f t="shared" si="243"/>
        <v>718311.25</v>
      </c>
      <c r="K498" s="121">
        <f t="shared" si="215"/>
        <v>94.71028967735981</v>
      </c>
    </row>
    <row r="499" spans="1:11" s="45" customFormat="1">
      <c r="A499" s="119" t="s">
        <v>105</v>
      </c>
      <c r="B499" s="120" t="s">
        <v>490</v>
      </c>
      <c r="C499" s="120" t="s">
        <v>76</v>
      </c>
      <c r="D499" s="120" t="s">
        <v>165</v>
      </c>
      <c r="E499" s="120" t="s">
        <v>425</v>
      </c>
      <c r="F499" s="121">
        <v>704392</v>
      </c>
      <c r="G499" s="154">
        <f t="shared" si="233"/>
        <v>436</v>
      </c>
      <c r="H499" s="121">
        <v>704828</v>
      </c>
      <c r="I499" s="121">
        <v>512248.375</v>
      </c>
      <c r="J499" s="121">
        <f>704392+436-52393.7+12275</f>
        <v>664709.30000000005</v>
      </c>
      <c r="K499" s="121">
        <f t="shared" si="215"/>
        <v>94.308015572593604</v>
      </c>
    </row>
    <row r="500" spans="1:11" s="45" customFormat="1">
      <c r="A500" s="119" t="s">
        <v>516</v>
      </c>
      <c r="B500" s="120" t="s">
        <v>490</v>
      </c>
      <c r="C500" s="120" t="s">
        <v>76</v>
      </c>
      <c r="D500" s="120" t="s">
        <v>165</v>
      </c>
      <c r="E500" s="120" t="s">
        <v>517</v>
      </c>
      <c r="F500" s="121">
        <v>53602</v>
      </c>
      <c r="G500" s="154">
        <f t="shared" si="233"/>
        <v>0</v>
      </c>
      <c r="H500" s="121">
        <v>53602</v>
      </c>
      <c r="I500" s="121">
        <v>51765.273000000001</v>
      </c>
      <c r="J500" s="121">
        <f>53602+12274.95-12275</f>
        <v>53601.95</v>
      </c>
      <c r="K500" s="121">
        <f t="shared" si="215"/>
        <v>99.999906719898505</v>
      </c>
    </row>
    <row r="501" spans="1:11" s="45" customFormat="1" ht="36">
      <c r="A501" s="69" t="s">
        <v>725</v>
      </c>
      <c r="B501" s="21" t="s">
        <v>490</v>
      </c>
      <c r="C501" s="21" t="s">
        <v>76</v>
      </c>
      <c r="D501" s="21" t="s">
        <v>726</v>
      </c>
      <c r="E501" s="21"/>
      <c r="F501" s="121"/>
      <c r="G501" s="154"/>
      <c r="H501" s="38">
        <f>H502</f>
        <v>1711.5</v>
      </c>
      <c r="I501" s="38">
        <f t="shared" ref="I501:J502" si="244">I502</f>
        <v>1711.5</v>
      </c>
      <c r="J501" s="38">
        <f t="shared" si="244"/>
        <v>1711.5</v>
      </c>
      <c r="K501" s="112">
        <f t="shared" si="215"/>
        <v>100</v>
      </c>
    </row>
    <row r="502" spans="1:11" s="45" customFormat="1" ht="24">
      <c r="A502" s="72" t="s">
        <v>104</v>
      </c>
      <c r="B502" s="28" t="s">
        <v>490</v>
      </c>
      <c r="C502" s="28" t="s">
        <v>76</v>
      </c>
      <c r="D502" s="28" t="s">
        <v>726</v>
      </c>
      <c r="E502" s="28" t="s">
        <v>408</v>
      </c>
      <c r="F502" s="121"/>
      <c r="G502" s="154"/>
      <c r="H502" s="37">
        <f>H503</f>
        <v>1711.5</v>
      </c>
      <c r="I502" s="37">
        <f t="shared" si="244"/>
        <v>1711.5</v>
      </c>
      <c r="J502" s="37">
        <f t="shared" si="244"/>
        <v>1711.5</v>
      </c>
      <c r="K502" s="121">
        <f t="shared" si="215"/>
        <v>100</v>
      </c>
    </row>
    <row r="503" spans="1:11" s="45" customFormat="1">
      <c r="A503" s="72" t="s">
        <v>105</v>
      </c>
      <c r="B503" s="28" t="s">
        <v>490</v>
      </c>
      <c r="C503" s="28" t="s">
        <v>76</v>
      </c>
      <c r="D503" s="28" t="s">
        <v>726</v>
      </c>
      <c r="E503" s="28" t="s">
        <v>425</v>
      </c>
      <c r="F503" s="121"/>
      <c r="G503" s="154"/>
      <c r="H503" s="37">
        <v>1711.5</v>
      </c>
      <c r="I503" s="37">
        <v>1711.5</v>
      </c>
      <c r="J503" s="37">
        <v>1711.5</v>
      </c>
      <c r="K503" s="121">
        <f t="shared" si="215"/>
        <v>100</v>
      </c>
    </row>
    <row r="504" spans="1:11" s="45" customFormat="1" ht="27">
      <c r="A504" s="123" t="s">
        <v>694</v>
      </c>
      <c r="B504" s="114" t="s">
        <v>490</v>
      </c>
      <c r="C504" s="114" t="s">
        <v>76</v>
      </c>
      <c r="D504" s="114" t="s">
        <v>272</v>
      </c>
      <c r="E504" s="114"/>
      <c r="F504" s="115">
        <f>F505</f>
        <v>500</v>
      </c>
      <c r="G504" s="154">
        <f t="shared" si="233"/>
        <v>500</v>
      </c>
      <c r="H504" s="115">
        <f>H505</f>
        <v>1000</v>
      </c>
      <c r="I504" s="115">
        <f t="shared" ref="I504:J506" si="245">I505</f>
        <v>1000</v>
      </c>
      <c r="J504" s="115">
        <f t="shared" si="245"/>
        <v>1000</v>
      </c>
      <c r="K504" s="126">
        <f t="shared" si="215"/>
        <v>100</v>
      </c>
    </row>
    <row r="505" spans="1:11" s="45" customFormat="1" ht="36">
      <c r="A505" s="110" t="s">
        <v>36</v>
      </c>
      <c r="B505" s="111" t="s">
        <v>490</v>
      </c>
      <c r="C505" s="111" t="s">
        <v>76</v>
      </c>
      <c r="D505" s="111" t="s">
        <v>638</v>
      </c>
      <c r="E505" s="111"/>
      <c r="F505" s="112">
        <f>F506</f>
        <v>500</v>
      </c>
      <c r="G505" s="154">
        <f t="shared" si="233"/>
        <v>500</v>
      </c>
      <c r="H505" s="112">
        <f>H506</f>
        <v>1000</v>
      </c>
      <c r="I505" s="112">
        <f t="shared" si="245"/>
        <v>1000</v>
      </c>
      <c r="J505" s="112">
        <f t="shared" si="245"/>
        <v>1000</v>
      </c>
      <c r="K505" s="112">
        <f t="shared" si="215"/>
        <v>100</v>
      </c>
    </row>
    <row r="506" spans="1:11" s="45" customFormat="1">
      <c r="A506" s="119" t="s">
        <v>161</v>
      </c>
      <c r="B506" s="120" t="s">
        <v>490</v>
      </c>
      <c r="C506" s="120" t="s">
        <v>76</v>
      </c>
      <c r="D506" s="120" t="s">
        <v>638</v>
      </c>
      <c r="E506" s="120" t="s">
        <v>84</v>
      </c>
      <c r="F506" s="121">
        <f>F507</f>
        <v>500</v>
      </c>
      <c r="G506" s="154">
        <f t="shared" si="233"/>
        <v>500</v>
      </c>
      <c r="H506" s="121">
        <f>H507</f>
        <v>1000</v>
      </c>
      <c r="I506" s="121">
        <f t="shared" si="245"/>
        <v>1000</v>
      </c>
      <c r="J506" s="121">
        <f t="shared" si="245"/>
        <v>1000</v>
      </c>
      <c r="K506" s="121">
        <f t="shared" si="215"/>
        <v>100</v>
      </c>
    </row>
    <row r="507" spans="1:11" s="45" customFormat="1">
      <c r="A507" s="119" t="s">
        <v>85</v>
      </c>
      <c r="B507" s="120" t="s">
        <v>490</v>
      </c>
      <c r="C507" s="120" t="s">
        <v>76</v>
      </c>
      <c r="D507" s="120" t="s">
        <v>638</v>
      </c>
      <c r="E507" s="120" t="s">
        <v>86</v>
      </c>
      <c r="F507" s="121">
        <v>500</v>
      </c>
      <c r="G507" s="154">
        <f t="shared" si="233"/>
        <v>500</v>
      </c>
      <c r="H507" s="121">
        <f>500+500</f>
        <v>1000</v>
      </c>
      <c r="I507" s="121">
        <f t="shared" ref="I507:J507" si="246">500+500</f>
        <v>1000</v>
      </c>
      <c r="J507" s="121">
        <f t="shared" si="246"/>
        <v>1000</v>
      </c>
      <c r="K507" s="121">
        <f t="shared" si="215"/>
        <v>100</v>
      </c>
    </row>
    <row r="508" spans="1:11" s="45" customFormat="1">
      <c r="A508" s="110" t="s">
        <v>383</v>
      </c>
      <c r="B508" s="111" t="s">
        <v>490</v>
      </c>
      <c r="C508" s="111" t="s">
        <v>491</v>
      </c>
      <c r="D508" s="111"/>
      <c r="E508" s="125"/>
      <c r="F508" s="112">
        <f>F509</f>
        <v>1189758.96</v>
      </c>
      <c r="G508" s="154">
        <f t="shared" si="233"/>
        <v>215921.35367999971</v>
      </c>
      <c r="H508" s="112">
        <f>H509</f>
        <v>1405680.3136799997</v>
      </c>
      <c r="I508" s="112">
        <f t="shared" ref="I508:J508" si="247">I509</f>
        <v>1075304.3749999998</v>
      </c>
      <c r="J508" s="112">
        <f t="shared" si="247"/>
        <v>1382228.5136799996</v>
      </c>
      <c r="K508" s="112">
        <f t="shared" si="215"/>
        <v>98.331640574903943</v>
      </c>
    </row>
    <row r="509" spans="1:11" s="45" customFormat="1" ht="27">
      <c r="A509" s="123" t="s">
        <v>691</v>
      </c>
      <c r="B509" s="114" t="s">
        <v>490</v>
      </c>
      <c r="C509" s="114" t="s">
        <v>491</v>
      </c>
      <c r="D509" s="114" t="s">
        <v>162</v>
      </c>
      <c r="E509" s="114"/>
      <c r="F509" s="115">
        <f>F510+F527</f>
        <v>1189758.96</v>
      </c>
      <c r="G509" s="154">
        <f t="shared" si="233"/>
        <v>215921.35367999971</v>
      </c>
      <c r="H509" s="115">
        <f>H510+H527</f>
        <v>1405680.3136799997</v>
      </c>
      <c r="I509" s="115">
        <f t="shared" ref="I509:J509" si="248">I510+I527</f>
        <v>1075304.3749999998</v>
      </c>
      <c r="J509" s="115">
        <f t="shared" si="248"/>
        <v>1382228.5136799996</v>
      </c>
      <c r="K509" s="126">
        <f t="shared" si="215"/>
        <v>98.331640574903943</v>
      </c>
    </row>
    <row r="510" spans="1:11" s="45" customFormat="1">
      <c r="A510" s="110" t="s">
        <v>273</v>
      </c>
      <c r="B510" s="111" t="s">
        <v>490</v>
      </c>
      <c r="C510" s="111" t="s">
        <v>491</v>
      </c>
      <c r="D510" s="111" t="s">
        <v>163</v>
      </c>
      <c r="E510" s="111"/>
      <c r="F510" s="112">
        <f>F511+F515</f>
        <v>1162805.76</v>
      </c>
      <c r="G510" s="154">
        <f t="shared" si="233"/>
        <v>215921.35367999971</v>
      </c>
      <c r="H510" s="112">
        <f>H511+H515+H519+H523</f>
        <v>1378727.1136799997</v>
      </c>
      <c r="I510" s="112">
        <f t="shared" ref="I510:J510" si="249">I511+I515+I519+I523</f>
        <v>1066791.9649999999</v>
      </c>
      <c r="J510" s="112">
        <f t="shared" si="249"/>
        <v>1355275.3136799997</v>
      </c>
      <c r="K510" s="112">
        <f t="shared" si="215"/>
        <v>98.299025255447091</v>
      </c>
    </row>
    <row r="511" spans="1:11" s="45" customFormat="1" ht="24">
      <c r="A511" s="143" t="s">
        <v>275</v>
      </c>
      <c r="B511" s="139" t="s">
        <v>490</v>
      </c>
      <c r="C511" s="139" t="s">
        <v>491</v>
      </c>
      <c r="D511" s="139" t="s">
        <v>168</v>
      </c>
      <c r="E511" s="139"/>
      <c r="F511" s="144">
        <f>F512</f>
        <v>267584.15999999997</v>
      </c>
      <c r="G511" s="154">
        <f t="shared" si="233"/>
        <v>-9499.9899999999616</v>
      </c>
      <c r="H511" s="144">
        <f>H512</f>
        <v>258084.17</v>
      </c>
      <c r="I511" s="144">
        <f t="shared" ref="I511:J511" si="250">I512</f>
        <v>203871.52399999998</v>
      </c>
      <c r="J511" s="144">
        <f t="shared" si="250"/>
        <v>248084.17</v>
      </c>
      <c r="K511" s="144">
        <f t="shared" si="215"/>
        <v>96.125295092682364</v>
      </c>
    </row>
    <row r="512" spans="1:11" s="45" customFormat="1" ht="24">
      <c r="A512" s="119" t="s">
        <v>104</v>
      </c>
      <c r="B512" s="120" t="s">
        <v>490</v>
      </c>
      <c r="C512" s="120" t="s">
        <v>491</v>
      </c>
      <c r="D512" s="120" t="s">
        <v>682</v>
      </c>
      <c r="E512" s="120" t="s">
        <v>408</v>
      </c>
      <c r="F512" s="121">
        <f>F513+F514</f>
        <v>267584.15999999997</v>
      </c>
      <c r="G512" s="154">
        <f t="shared" si="233"/>
        <v>-9499.9899999999616</v>
      </c>
      <c r="H512" s="121">
        <f>H513+H514</f>
        <v>258084.17</v>
      </c>
      <c r="I512" s="121">
        <f t="shared" ref="I512:J512" si="251">I513+I514</f>
        <v>203871.52399999998</v>
      </c>
      <c r="J512" s="121">
        <f t="shared" si="251"/>
        <v>248084.17</v>
      </c>
      <c r="K512" s="121">
        <f t="shared" si="215"/>
        <v>96.125295092682364</v>
      </c>
    </row>
    <row r="513" spans="1:11" s="45" customFormat="1">
      <c r="A513" s="119" t="s">
        <v>105</v>
      </c>
      <c r="B513" s="120" t="s">
        <v>490</v>
      </c>
      <c r="C513" s="120" t="s">
        <v>491</v>
      </c>
      <c r="D513" s="120" t="s">
        <v>682</v>
      </c>
      <c r="E513" s="120" t="s">
        <v>425</v>
      </c>
      <c r="F513" s="121">
        <v>258812</v>
      </c>
      <c r="G513" s="154">
        <f t="shared" si="233"/>
        <v>-9200.0461899999937</v>
      </c>
      <c r="H513" s="121">
        <f>258811.95381-14200+5000</f>
        <v>249611.95381000001</v>
      </c>
      <c r="I513" s="121">
        <v>197820.91399999999</v>
      </c>
      <c r="J513" s="121">
        <f>258811.95381-14200+5000-10000</f>
        <v>239611.95381000001</v>
      </c>
      <c r="K513" s="121">
        <f t="shared" si="215"/>
        <v>95.993781608868062</v>
      </c>
    </row>
    <row r="514" spans="1:11" s="45" customFormat="1">
      <c r="A514" s="119" t="s">
        <v>516</v>
      </c>
      <c r="B514" s="120" t="s">
        <v>490</v>
      </c>
      <c r="C514" s="120" t="s">
        <v>491</v>
      </c>
      <c r="D514" s="120" t="s">
        <v>682</v>
      </c>
      <c r="E514" s="120" t="s">
        <v>517</v>
      </c>
      <c r="F514" s="121">
        <v>8772.16</v>
      </c>
      <c r="G514" s="154">
        <f t="shared" si="233"/>
        <v>-299.94381000000067</v>
      </c>
      <c r="H514" s="121">
        <f>8772.21619-300</f>
        <v>8472.2161899999992</v>
      </c>
      <c r="I514" s="121">
        <v>6050.61</v>
      </c>
      <c r="J514" s="121">
        <f>8772.21619-300</f>
        <v>8472.2161899999992</v>
      </c>
      <c r="K514" s="121">
        <f t="shared" si="215"/>
        <v>100</v>
      </c>
    </row>
    <row r="515" spans="1:11" s="45" customFormat="1" ht="48">
      <c r="A515" s="140" t="s">
        <v>372</v>
      </c>
      <c r="B515" s="125" t="s">
        <v>490</v>
      </c>
      <c r="C515" s="125" t="s">
        <v>491</v>
      </c>
      <c r="D515" s="125" t="s">
        <v>276</v>
      </c>
      <c r="E515" s="125"/>
      <c r="F515" s="126">
        <f>F516</f>
        <v>895221.6</v>
      </c>
      <c r="G515" s="154">
        <f t="shared" si="233"/>
        <v>121377.09999999998</v>
      </c>
      <c r="H515" s="126">
        <f>H516</f>
        <v>1016598.7</v>
      </c>
      <c r="I515" s="126">
        <f t="shared" ref="I515:J515" si="252">I516</f>
        <v>830881.84499999997</v>
      </c>
      <c r="J515" s="126">
        <f t="shared" si="252"/>
        <v>1003146.8999999999</v>
      </c>
      <c r="K515" s="126">
        <f t="shared" si="215"/>
        <v>98.676783670882131</v>
      </c>
    </row>
    <row r="516" spans="1:11" s="45" customFormat="1" ht="24">
      <c r="A516" s="119" t="s">
        <v>104</v>
      </c>
      <c r="B516" s="120" t="s">
        <v>490</v>
      </c>
      <c r="C516" s="120" t="s">
        <v>491</v>
      </c>
      <c r="D516" s="120" t="s">
        <v>276</v>
      </c>
      <c r="E516" s="120" t="s">
        <v>408</v>
      </c>
      <c r="F516" s="121">
        <f>F517+F518</f>
        <v>895221.6</v>
      </c>
      <c r="G516" s="154">
        <f t="shared" si="233"/>
        <v>121377.09999999998</v>
      </c>
      <c r="H516" s="121">
        <f>H517+H518</f>
        <v>1016598.7</v>
      </c>
      <c r="I516" s="121">
        <f t="shared" ref="I516:J516" si="253">I517+I518</f>
        <v>830881.84499999997</v>
      </c>
      <c r="J516" s="121">
        <f t="shared" si="253"/>
        <v>1003146.8999999999</v>
      </c>
      <c r="K516" s="121">
        <f t="shared" si="215"/>
        <v>98.676783670882131</v>
      </c>
    </row>
    <row r="517" spans="1:11" s="45" customFormat="1">
      <c r="A517" s="119" t="s">
        <v>105</v>
      </c>
      <c r="B517" s="120" t="s">
        <v>490</v>
      </c>
      <c r="C517" s="120" t="s">
        <v>491</v>
      </c>
      <c r="D517" s="120" t="s">
        <v>276</v>
      </c>
      <c r="E517" s="120" t="s">
        <v>425</v>
      </c>
      <c r="F517" s="121">
        <v>858626.6</v>
      </c>
      <c r="G517" s="154">
        <f t="shared" si="233"/>
        <v>117802.59999999998</v>
      </c>
      <c r="H517" s="121">
        <v>976429.2</v>
      </c>
      <c r="I517" s="121">
        <v>796893.79799999995</v>
      </c>
      <c r="J517" s="121">
        <f>858626.6+121377.1-3574.5-14324.9+873.1</f>
        <v>962977.39999999991</v>
      </c>
      <c r="K517" s="121">
        <f t="shared" si="215"/>
        <v>98.622347631553822</v>
      </c>
    </row>
    <row r="518" spans="1:11" s="45" customFormat="1">
      <c r="A518" s="119" t="s">
        <v>516</v>
      </c>
      <c r="B518" s="120" t="s">
        <v>490</v>
      </c>
      <c r="C518" s="120" t="s">
        <v>491</v>
      </c>
      <c r="D518" s="120" t="s">
        <v>276</v>
      </c>
      <c r="E518" s="120" t="s">
        <v>517</v>
      </c>
      <c r="F518" s="121">
        <v>36595</v>
      </c>
      <c r="G518" s="154">
        <f t="shared" si="233"/>
        <v>3574.5</v>
      </c>
      <c r="H518" s="121">
        <v>40169.5</v>
      </c>
      <c r="I518" s="121">
        <v>33988.046999999999</v>
      </c>
      <c r="J518" s="121">
        <f>36595+3574.5+873.1-873.1</f>
        <v>40169.5</v>
      </c>
      <c r="K518" s="121">
        <f t="shared" ref="K518:K578" si="254">J518/H518*100</f>
        <v>100</v>
      </c>
    </row>
    <row r="519" spans="1:11" s="45" customFormat="1" ht="24">
      <c r="A519" s="124" t="s">
        <v>770</v>
      </c>
      <c r="B519" s="125" t="s">
        <v>490</v>
      </c>
      <c r="C519" s="125" t="s">
        <v>491</v>
      </c>
      <c r="D519" s="125" t="s">
        <v>771</v>
      </c>
      <c r="E519" s="125"/>
      <c r="F519" s="121"/>
      <c r="G519" s="154"/>
      <c r="H519" s="126">
        <f>H520</f>
        <v>32810.400000000001</v>
      </c>
      <c r="I519" s="126">
        <f t="shared" ref="I519:J519" si="255">I520</f>
        <v>15956.704</v>
      </c>
      <c r="J519" s="126">
        <f t="shared" si="255"/>
        <v>32810.400000000001</v>
      </c>
      <c r="K519" s="126">
        <f t="shared" si="254"/>
        <v>100</v>
      </c>
    </row>
    <row r="520" spans="1:11" s="45" customFormat="1" ht="24">
      <c r="A520" s="119" t="s">
        <v>104</v>
      </c>
      <c r="B520" s="120" t="s">
        <v>490</v>
      </c>
      <c r="C520" s="120" t="s">
        <v>491</v>
      </c>
      <c r="D520" s="120" t="s">
        <v>771</v>
      </c>
      <c r="E520" s="120" t="s">
        <v>408</v>
      </c>
      <c r="F520" s="121"/>
      <c r="G520" s="154"/>
      <c r="H520" s="121">
        <f>H521+H522</f>
        <v>32810.400000000001</v>
      </c>
      <c r="I520" s="121">
        <f t="shared" ref="I520:J520" si="256">I521+I522</f>
        <v>15956.704</v>
      </c>
      <c r="J520" s="121">
        <f t="shared" si="256"/>
        <v>32810.400000000001</v>
      </c>
      <c r="K520" s="121">
        <f t="shared" si="254"/>
        <v>100</v>
      </c>
    </row>
    <row r="521" spans="1:11" s="45" customFormat="1">
      <c r="A521" s="119" t="s">
        <v>105</v>
      </c>
      <c r="B521" s="120" t="s">
        <v>490</v>
      </c>
      <c r="C521" s="120" t="s">
        <v>491</v>
      </c>
      <c r="D521" s="120" t="s">
        <v>771</v>
      </c>
      <c r="E521" s="120" t="s">
        <v>425</v>
      </c>
      <c r="F521" s="121"/>
      <c r="G521" s="154"/>
      <c r="H521" s="121">
        <v>31560.48</v>
      </c>
      <c r="I521" s="121">
        <v>15335.75</v>
      </c>
      <c r="J521" s="121">
        <v>31560.48</v>
      </c>
      <c r="K521" s="121">
        <f t="shared" si="254"/>
        <v>100</v>
      </c>
    </row>
    <row r="522" spans="1:11" s="45" customFormat="1">
      <c r="A522" s="119" t="s">
        <v>516</v>
      </c>
      <c r="B522" s="120" t="s">
        <v>490</v>
      </c>
      <c r="C522" s="120" t="s">
        <v>491</v>
      </c>
      <c r="D522" s="120" t="s">
        <v>771</v>
      </c>
      <c r="E522" s="120" t="s">
        <v>517</v>
      </c>
      <c r="F522" s="121"/>
      <c r="G522" s="154"/>
      <c r="H522" s="121">
        <v>1249.92</v>
      </c>
      <c r="I522" s="121">
        <v>620.95399999999995</v>
      </c>
      <c r="J522" s="121">
        <v>1249.92</v>
      </c>
      <c r="K522" s="121">
        <f t="shared" si="254"/>
        <v>100</v>
      </c>
    </row>
    <row r="523" spans="1:11" s="45" customFormat="1" ht="24">
      <c r="A523" s="124" t="s">
        <v>772</v>
      </c>
      <c r="B523" s="125" t="s">
        <v>490</v>
      </c>
      <c r="C523" s="125" t="s">
        <v>491</v>
      </c>
      <c r="D523" s="125" t="s">
        <v>773</v>
      </c>
      <c r="E523" s="125"/>
      <c r="F523" s="121"/>
      <c r="G523" s="154"/>
      <c r="H523" s="126">
        <f>H524</f>
        <v>71233.843680000005</v>
      </c>
      <c r="I523" s="126">
        <f t="shared" ref="I523:J523" si="257">I524</f>
        <v>16081.892</v>
      </c>
      <c r="J523" s="126">
        <f t="shared" si="257"/>
        <v>71233.843680000005</v>
      </c>
      <c r="K523" s="126">
        <f t="shared" si="254"/>
        <v>100</v>
      </c>
    </row>
    <row r="524" spans="1:11" s="45" customFormat="1" ht="24">
      <c r="A524" s="119" t="s">
        <v>104</v>
      </c>
      <c r="B524" s="120" t="s">
        <v>490</v>
      </c>
      <c r="C524" s="120" t="s">
        <v>491</v>
      </c>
      <c r="D524" s="120" t="s">
        <v>773</v>
      </c>
      <c r="E524" s="120" t="s">
        <v>408</v>
      </c>
      <c r="F524" s="121"/>
      <c r="G524" s="154"/>
      <c r="H524" s="121">
        <f>H525+H526</f>
        <v>71233.843680000005</v>
      </c>
      <c r="I524" s="121">
        <f t="shared" ref="I524:J524" si="258">I525+I526</f>
        <v>16081.892</v>
      </c>
      <c r="J524" s="121">
        <f t="shared" si="258"/>
        <v>71233.843680000005</v>
      </c>
      <c r="K524" s="112">
        <f t="shared" si="254"/>
        <v>100</v>
      </c>
    </row>
    <row r="525" spans="1:11" s="45" customFormat="1">
      <c r="A525" s="119" t="s">
        <v>105</v>
      </c>
      <c r="B525" s="120" t="s">
        <v>490</v>
      </c>
      <c r="C525" s="120" t="s">
        <v>491</v>
      </c>
      <c r="D525" s="120" t="s">
        <v>773</v>
      </c>
      <c r="E525" s="120" t="s">
        <v>425</v>
      </c>
      <c r="F525" s="121"/>
      <c r="G525" s="154"/>
      <c r="H525" s="121">
        <v>67563.952680000002</v>
      </c>
      <c r="I525" s="121">
        <v>15405.727999999999</v>
      </c>
      <c r="J525" s="121">
        <v>67563.952680000002</v>
      </c>
      <c r="K525" s="112">
        <f t="shared" si="254"/>
        <v>100</v>
      </c>
    </row>
    <row r="526" spans="1:11" s="45" customFormat="1">
      <c r="A526" s="119" t="s">
        <v>516</v>
      </c>
      <c r="B526" s="120" t="s">
        <v>490</v>
      </c>
      <c r="C526" s="120" t="s">
        <v>491</v>
      </c>
      <c r="D526" s="120" t="s">
        <v>773</v>
      </c>
      <c r="E526" s="120" t="s">
        <v>517</v>
      </c>
      <c r="F526" s="121"/>
      <c r="G526" s="154"/>
      <c r="H526" s="121">
        <v>3669.8910000000001</v>
      </c>
      <c r="I526" s="121">
        <v>676.16399999999999</v>
      </c>
      <c r="J526" s="121">
        <v>3669.8910000000001</v>
      </c>
      <c r="K526" s="112">
        <f t="shared" si="254"/>
        <v>100</v>
      </c>
    </row>
    <row r="527" spans="1:11" s="45" customFormat="1">
      <c r="A527" s="110" t="s">
        <v>289</v>
      </c>
      <c r="B527" s="111" t="s">
        <v>490</v>
      </c>
      <c r="C527" s="111" t="s">
        <v>491</v>
      </c>
      <c r="D527" s="111" t="s">
        <v>171</v>
      </c>
      <c r="E527" s="111"/>
      <c r="F527" s="112">
        <f>F528</f>
        <v>26953.200000000001</v>
      </c>
      <c r="G527" s="154">
        <f t="shared" si="233"/>
        <v>0</v>
      </c>
      <c r="H527" s="112">
        <f>H528</f>
        <v>26953.200000000001</v>
      </c>
      <c r="I527" s="112">
        <f t="shared" ref="I527:J528" si="259">I528</f>
        <v>8512.41</v>
      </c>
      <c r="J527" s="112">
        <f t="shared" si="259"/>
        <v>26953.200000000001</v>
      </c>
      <c r="K527" s="112">
        <f t="shared" si="254"/>
        <v>100</v>
      </c>
    </row>
    <row r="528" spans="1:11" s="45" customFormat="1">
      <c r="A528" s="128" t="s">
        <v>179</v>
      </c>
      <c r="B528" s="125" t="s">
        <v>490</v>
      </c>
      <c r="C528" s="125" t="s">
        <v>491</v>
      </c>
      <c r="D528" s="125" t="s">
        <v>493</v>
      </c>
      <c r="E528" s="125"/>
      <c r="F528" s="126">
        <f>F529</f>
        <v>26953.200000000001</v>
      </c>
      <c r="G528" s="154">
        <f t="shared" si="233"/>
        <v>0</v>
      </c>
      <c r="H528" s="126">
        <f>H529</f>
        <v>26953.200000000001</v>
      </c>
      <c r="I528" s="126">
        <f t="shared" si="259"/>
        <v>8512.41</v>
      </c>
      <c r="J528" s="126">
        <f t="shared" si="259"/>
        <v>26953.200000000001</v>
      </c>
      <c r="K528" s="126">
        <f t="shared" si="254"/>
        <v>100</v>
      </c>
    </row>
    <row r="529" spans="1:11" s="45" customFormat="1" ht="24">
      <c r="A529" s="119" t="s">
        <v>104</v>
      </c>
      <c r="B529" s="120" t="s">
        <v>490</v>
      </c>
      <c r="C529" s="120" t="s">
        <v>491</v>
      </c>
      <c r="D529" s="120" t="s">
        <v>686</v>
      </c>
      <c r="E529" s="120" t="s">
        <v>408</v>
      </c>
      <c r="F529" s="121">
        <f>F530+F531</f>
        <v>26953.200000000001</v>
      </c>
      <c r="G529" s="154">
        <f t="shared" si="233"/>
        <v>0</v>
      </c>
      <c r="H529" s="121">
        <f>H530+H531</f>
        <v>26953.200000000001</v>
      </c>
      <c r="I529" s="121">
        <f t="shared" ref="I529:J529" si="260">I530+I531</f>
        <v>8512.41</v>
      </c>
      <c r="J529" s="121">
        <f t="shared" si="260"/>
        <v>26953.200000000001</v>
      </c>
      <c r="K529" s="121">
        <f t="shared" si="254"/>
        <v>100</v>
      </c>
    </row>
    <row r="530" spans="1:11" s="45" customFormat="1">
      <c r="A530" s="119" t="s">
        <v>105</v>
      </c>
      <c r="B530" s="120" t="s">
        <v>490</v>
      </c>
      <c r="C530" s="120" t="s">
        <v>491</v>
      </c>
      <c r="D530" s="120" t="s">
        <v>686</v>
      </c>
      <c r="E530" s="120" t="s">
        <v>425</v>
      </c>
      <c r="F530" s="121">
        <v>26058.400000000001</v>
      </c>
      <c r="G530" s="154">
        <f t="shared" si="233"/>
        <v>0</v>
      </c>
      <c r="H530" s="121">
        <v>26058.400000000001</v>
      </c>
      <c r="I530" s="121">
        <v>8186.4350000000004</v>
      </c>
      <c r="J530" s="121">
        <v>26058.400000000001</v>
      </c>
      <c r="K530" s="121">
        <f t="shared" si="254"/>
        <v>100</v>
      </c>
    </row>
    <row r="531" spans="1:11" s="45" customFormat="1">
      <c r="A531" s="119" t="s">
        <v>516</v>
      </c>
      <c r="B531" s="120" t="s">
        <v>490</v>
      </c>
      <c r="C531" s="120" t="s">
        <v>491</v>
      </c>
      <c r="D531" s="120" t="s">
        <v>686</v>
      </c>
      <c r="E531" s="120" t="s">
        <v>517</v>
      </c>
      <c r="F531" s="121">
        <v>894.8</v>
      </c>
      <c r="G531" s="154">
        <f t="shared" si="233"/>
        <v>0</v>
      </c>
      <c r="H531" s="121">
        <v>894.8</v>
      </c>
      <c r="I531" s="121">
        <v>325.97500000000002</v>
      </c>
      <c r="J531" s="121">
        <v>894.8</v>
      </c>
      <c r="K531" s="121">
        <f t="shared" si="254"/>
        <v>100</v>
      </c>
    </row>
    <row r="532" spans="1:11">
      <c r="A532" s="110" t="s">
        <v>277</v>
      </c>
      <c r="B532" s="111" t="s">
        <v>490</v>
      </c>
      <c r="C532" s="111" t="s">
        <v>483</v>
      </c>
      <c r="D532" s="111"/>
      <c r="E532" s="111"/>
      <c r="F532" s="112" t="e">
        <f>F533+F539+#REF!</f>
        <v>#REF!</v>
      </c>
      <c r="G532" s="154" t="e">
        <f t="shared" si="233"/>
        <v>#REF!</v>
      </c>
      <c r="H532" s="112">
        <f>H533+H539</f>
        <v>191919.97500000001</v>
      </c>
      <c r="I532" s="112">
        <f t="shared" ref="I532:J532" si="261">I533+I539</f>
        <v>142350.64113999999</v>
      </c>
      <c r="J532" s="112">
        <f t="shared" si="261"/>
        <v>185919.97500000001</v>
      </c>
      <c r="K532" s="112">
        <f t="shared" si="254"/>
        <v>96.873696966665406</v>
      </c>
    </row>
    <row r="533" spans="1:11" ht="27">
      <c r="A533" s="123" t="s">
        <v>691</v>
      </c>
      <c r="B533" s="114" t="s">
        <v>490</v>
      </c>
      <c r="C533" s="114" t="s">
        <v>483</v>
      </c>
      <c r="D533" s="114" t="s">
        <v>162</v>
      </c>
      <c r="E533" s="139"/>
      <c r="F533" s="115">
        <f>F534</f>
        <v>101291.4</v>
      </c>
      <c r="G533" s="154">
        <f t="shared" si="233"/>
        <v>-2.4999999994179234E-2</v>
      </c>
      <c r="H533" s="115">
        <f>H534</f>
        <v>101291.375</v>
      </c>
      <c r="I533" s="115">
        <f t="shared" ref="I533:J535" si="262">I534</f>
        <v>78958.954259999999</v>
      </c>
      <c r="J533" s="115">
        <f t="shared" si="262"/>
        <v>101291.375</v>
      </c>
      <c r="K533" s="115">
        <f t="shared" si="254"/>
        <v>100</v>
      </c>
    </row>
    <row r="534" spans="1:11">
      <c r="A534" s="110" t="s">
        <v>273</v>
      </c>
      <c r="B534" s="111" t="s">
        <v>490</v>
      </c>
      <c r="C534" s="111" t="s">
        <v>483</v>
      </c>
      <c r="D534" s="111" t="s">
        <v>163</v>
      </c>
      <c r="E534" s="120"/>
      <c r="F534" s="112">
        <f>F535</f>
        <v>101291.4</v>
      </c>
      <c r="G534" s="154">
        <f t="shared" si="233"/>
        <v>-2.4999999994179234E-2</v>
      </c>
      <c r="H534" s="112">
        <f>H535</f>
        <v>101291.375</v>
      </c>
      <c r="I534" s="112">
        <f t="shared" si="262"/>
        <v>78958.954259999999</v>
      </c>
      <c r="J534" s="112">
        <f t="shared" si="262"/>
        <v>101291.375</v>
      </c>
      <c r="K534" s="112">
        <f t="shared" si="254"/>
        <v>100</v>
      </c>
    </row>
    <row r="535" spans="1:11" ht="24">
      <c r="A535" s="124" t="s">
        <v>278</v>
      </c>
      <c r="B535" s="125" t="s">
        <v>490</v>
      </c>
      <c r="C535" s="125" t="s">
        <v>483</v>
      </c>
      <c r="D535" s="125" t="s">
        <v>169</v>
      </c>
      <c r="E535" s="125"/>
      <c r="F535" s="126">
        <f>F536</f>
        <v>101291.4</v>
      </c>
      <c r="G535" s="154">
        <f t="shared" si="233"/>
        <v>-2.4999999994179234E-2</v>
      </c>
      <c r="H535" s="126">
        <f>H536</f>
        <v>101291.375</v>
      </c>
      <c r="I535" s="126">
        <f t="shared" si="262"/>
        <v>78958.954259999999</v>
      </c>
      <c r="J535" s="126">
        <f t="shared" si="262"/>
        <v>101291.375</v>
      </c>
      <c r="K535" s="126">
        <f t="shared" si="254"/>
        <v>100</v>
      </c>
    </row>
    <row r="536" spans="1:11" ht="24">
      <c r="A536" s="119" t="s">
        <v>104</v>
      </c>
      <c r="B536" s="120" t="s">
        <v>490</v>
      </c>
      <c r="C536" s="120" t="s">
        <v>483</v>
      </c>
      <c r="D536" s="120" t="s">
        <v>683</v>
      </c>
      <c r="E536" s="120" t="s">
        <v>408</v>
      </c>
      <c r="F536" s="121">
        <f>F537+F538</f>
        <v>101291.4</v>
      </c>
      <c r="G536" s="154">
        <f t="shared" si="233"/>
        <v>-2.4999999994179234E-2</v>
      </c>
      <c r="H536" s="121">
        <f>H537+H538</f>
        <v>101291.375</v>
      </c>
      <c r="I536" s="121">
        <f t="shared" ref="I536:J536" si="263">I537+I538</f>
        <v>78958.954259999999</v>
      </c>
      <c r="J536" s="121">
        <f t="shared" si="263"/>
        <v>101291.375</v>
      </c>
      <c r="K536" s="121">
        <f t="shared" si="254"/>
        <v>100</v>
      </c>
    </row>
    <row r="537" spans="1:11">
      <c r="A537" s="119" t="s">
        <v>105</v>
      </c>
      <c r="B537" s="120" t="s">
        <v>490</v>
      </c>
      <c r="C537" s="120" t="s">
        <v>483</v>
      </c>
      <c r="D537" s="120" t="s">
        <v>683</v>
      </c>
      <c r="E537" s="120" t="s">
        <v>425</v>
      </c>
      <c r="F537" s="121">
        <v>3223.9</v>
      </c>
      <c r="G537" s="154">
        <f t="shared" si="233"/>
        <v>6.4499999998588464E-3</v>
      </c>
      <c r="H537" s="121">
        <v>3223.9064499999999</v>
      </c>
      <c r="I537" s="121">
        <v>2199.07042</v>
      </c>
      <c r="J537" s="121">
        <v>3223.9064499999999</v>
      </c>
      <c r="K537" s="121">
        <f t="shared" si="254"/>
        <v>100</v>
      </c>
    </row>
    <row r="538" spans="1:11">
      <c r="A538" s="119" t="s">
        <v>516</v>
      </c>
      <c r="B538" s="120" t="s">
        <v>490</v>
      </c>
      <c r="C538" s="120" t="s">
        <v>483</v>
      </c>
      <c r="D538" s="120" t="s">
        <v>683</v>
      </c>
      <c r="E538" s="120" t="s">
        <v>517</v>
      </c>
      <c r="F538" s="121">
        <v>98067.5</v>
      </c>
      <c r="G538" s="154">
        <f t="shared" si="233"/>
        <v>-3.1449999994947575E-2</v>
      </c>
      <c r="H538" s="121">
        <v>98067.468550000005</v>
      </c>
      <c r="I538" s="121">
        <v>76759.883839999995</v>
      </c>
      <c r="J538" s="121">
        <v>98067.468550000005</v>
      </c>
      <c r="K538" s="121">
        <f t="shared" si="254"/>
        <v>100</v>
      </c>
    </row>
    <row r="539" spans="1:11" s="184" customFormat="1" ht="27">
      <c r="A539" s="123" t="s">
        <v>601</v>
      </c>
      <c r="B539" s="114" t="s">
        <v>490</v>
      </c>
      <c r="C539" s="114" t="s">
        <v>483</v>
      </c>
      <c r="D539" s="114" t="s">
        <v>256</v>
      </c>
      <c r="E539" s="114"/>
      <c r="F539" s="115">
        <f>F540</f>
        <v>90628.6</v>
      </c>
      <c r="G539" s="154">
        <f t="shared" si="233"/>
        <v>0</v>
      </c>
      <c r="H539" s="115">
        <f>H540</f>
        <v>90628.6</v>
      </c>
      <c r="I539" s="115">
        <f t="shared" ref="I539:J543" si="264">I540</f>
        <v>63391.686880000001</v>
      </c>
      <c r="J539" s="115">
        <f t="shared" si="264"/>
        <v>84628.6</v>
      </c>
      <c r="K539" s="115">
        <f t="shared" si="254"/>
        <v>93.37957333556956</v>
      </c>
    </row>
    <row r="540" spans="1:11" s="184" customFormat="1" ht="24">
      <c r="A540" s="110" t="s">
        <v>361</v>
      </c>
      <c r="B540" s="111" t="s">
        <v>490</v>
      </c>
      <c r="C540" s="111" t="s">
        <v>483</v>
      </c>
      <c r="D540" s="111" t="s">
        <v>257</v>
      </c>
      <c r="E540" s="111"/>
      <c r="F540" s="112">
        <f>F541</f>
        <v>90628.6</v>
      </c>
      <c r="G540" s="154">
        <f t="shared" si="233"/>
        <v>0</v>
      </c>
      <c r="H540" s="112">
        <f>H541</f>
        <v>90628.6</v>
      </c>
      <c r="I540" s="112">
        <f t="shared" si="264"/>
        <v>63391.686880000001</v>
      </c>
      <c r="J540" s="112">
        <f t="shared" si="264"/>
        <v>84628.6</v>
      </c>
      <c r="K540" s="112">
        <f t="shared" si="254"/>
        <v>93.37957333556956</v>
      </c>
    </row>
    <row r="541" spans="1:11" s="184" customFormat="1" ht="24">
      <c r="A541" s="110" t="s">
        <v>603</v>
      </c>
      <c r="B541" s="111" t="s">
        <v>490</v>
      </c>
      <c r="C541" s="111" t="s">
        <v>483</v>
      </c>
      <c r="D541" s="111" t="s">
        <v>604</v>
      </c>
      <c r="E541" s="111"/>
      <c r="F541" s="112">
        <f>F542</f>
        <v>90628.6</v>
      </c>
      <c r="G541" s="154">
        <f t="shared" si="233"/>
        <v>0</v>
      </c>
      <c r="H541" s="112">
        <f>H542</f>
        <v>90628.6</v>
      </c>
      <c r="I541" s="112">
        <f t="shared" si="264"/>
        <v>63391.686880000001</v>
      </c>
      <c r="J541" s="112">
        <f t="shared" si="264"/>
        <v>84628.6</v>
      </c>
      <c r="K541" s="112">
        <f t="shared" si="254"/>
        <v>93.37957333556956</v>
      </c>
    </row>
    <row r="542" spans="1:11" s="184" customFormat="1" ht="24">
      <c r="A542" s="143" t="s">
        <v>309</v>
      </c>
      <c r="B542" s="139" t="s">
        <v>490</v>
      </c>
      <c r="C542" s="139" t="s">
        <v>483</v>
      </c>
      <c r="D542" s="139" t="s">
        <v>604</v>
      </c>
      <c r="E542" s="139"/>
      <c r="F542" s="144">
        <f>F543</f>
        <v>90628.6</v>
      </c>
      <c r="G542" s="154">
        <f t="shared" si="233"/>
        <v>0</v>
      </c>
      <c r="H542" s="144">
        <f>H543</f>
        <v>90628.6</v>
      </c>
      <c r="I542" s="144">
        <f t="shared" si="264"/>
        <v>63391.686880000001</v>
      </c>
      <c r="J542" s="144">
        <f t="shared" si="264"/>
        <v>84628.6</v>
      </c>
      <c r="K542" s="144">
        <f t="shared" si="254"/>
        <v>93.37957333556956</v>
      </c>
    </row>
    <row r="543" spans="1:11" s="184" customFormat="1" ht="24">
      <c r="A543" s="119" t="s">
        <v>104</v>
      </c>
      <c r="B543" s="120" t="s">
        <v>490</v>
      </c>
      <c r="C543" s="120" t="s">
        <v>483</v>
      </c>
      <c r="D543" s="120" t="s">
        <v>604</v>
      </c>
      <c r="E543" s="120" t="s">
        <v>408</v>
      </c>
      <c r="F543" s="121">
        <f>F544</f>
        <v>90628.6</v>
      </c>
      <c r="G543" s="154">
        <f t="shared" si="233"/>
        <v>0</v>
      </c>
      <c r="H543" s="121">
        <f>H544</f>
        <v>90628.6</v>
      </c>
      <c r="I543" s="121">
        <f t="shared" si="264"/>
        <v>63391.686880000001</v>
      </c>
      <c r="J543" s="121">
        <f t="shared" si="264"/>
        <v>84628.6</v>
      </c>
      <c r="K543" s="121">
        <f t="shared" si="254"/>
        <v>93.37957333556956</v>
      </c>
    </row>
    <row r="544" spans="1:11" s="184" customFormat="1">
      <c r="A544" s="119" t="s">
        <v>105</v>
      </c>
      <c r="B544" s="120" t="s">
        <v>490</v>
      </c>
      <c r="C544" s="120" t="s">
        <v>483</v>
      </c>
      <c r="D544" s="120" t="s">
        <v>604</v>
      </c>
      <c r="E544" s="120" t="s">
        <v>425</v>
      </c>
      <c r="F544" s="121">
        <v>90628.6</v>
      </c>
      <c r="G544" s="154">
        <f t="shared" si="233"/>
        <v>0</v>
      </c>
      <c r="H544" s="121">
        <v>90628.6</v>
      </c>
      <c r="I544" s="121">
        <v>63391.686880000001</v>
      </c>
      <c r="J544" s="121">
        <f>90628.6-3000-3000</f>
        <v>84628.6</v>
      </c>
      <c r="K544" s="121">
        <f t="shared" si="254"/>
        <v>93.37957333556956</v>
      </c>
    </row>
    <row r="545" spans="1:11" s="184" customFormat="1">
      <c r="A545" s="110" t="s">
        <v>384</v>
      </c>
      <c r="B545" s="111" t="s">
        <v>490</v>
      </c>
      <c r="C545" s="111" t="s">
        <v>490</v>
      </c>
      <c r="D545" s="111"/>
      <c r="E545" s="111"/>
      <c r="F545" s="112" t="e">
        <f>F546+F554+F559</f>
        <v>#REF!</v>
      </c>
      <c r="G545" s="154" t="e">
        <f t="shared" si="233"/>
        <v>#REF!</v>
      </c>
      <c r="H545" s="112">
        <f>H546+H554+H559</f>
        <v>4936.61384</v>
      </c>
      <c r="I545" s="112">
        <f>I546+I554+I559</f>
        <v>1575.9712300000001</v>
      </c>
      <c r="J545" s="112">
        <f>J546+J554+J559</f>
        <v>2336.61384</v>
      </c>
      <c r="K545" s="112">
        <f t="shared" si="254"/>
        <v>47.332319596624558</v>
      </c>
    </row>
    <row r="546" spans="1:11" s="184" customFormat="1" ht="27">
      <c r="A546" s="123" t="s">
        <v>601</v>
      </c>
      <c r="B546" s="114" t="s">
        <v>490</v>
      </c>
      <c r="C546" s="114" t="s">
        <v>490</v>
      </c>
      <c r="D546" s="114" t="s">
        <v>256</v>
      </c>
      <c r="E546" s="114"/>
      <c r="F546" s="115" t="e">
        <f>F547</f>
        <v>#REF!</v>
      </c>
      <c r="G546" s="154" t="e">
        <f t="shared" si="233"/>
        <v>#REF!</v>
      </c>
      <c r="H546" s="115">
        <f>H547</f>
        <v>1379.2</v>
      </c>
      <c r="I546" s="115">
        <f t="shared" ref="I546:J546" si="265">I547</f>
        <v>1004.2</v>
      </c>
      <c r="J546" s="115">
        <f t="shared" si="265"/>
        <v>1379.2</v>
      </c>
      <c r="K546" s="115">
        <f t="shared" si="254"/>
        <v>100</v>
      </c>
    </row>
    <row r="547" spans="1:11" ht="27">
      <c r="A547" s="123" t="s">
        <v>360</v>
      </c>
      <c r="B547" s="114" t="s">
        <v>490</v>
      </c>
      <c r="C547" s="114" t="s">
        <v>490</v>
      </c>
      <c r="D547" s="114" t="s">
        <v>262</v>
      </c>
      <c r="E547" s="114"/>
      <c r="F547" s="115" t="e">
        <f>F548+#REF!+F551</f>
        <v>#REF!</v>
      </c>
      <c r="G547" s="154" t="e">
        <f t="shared" ref="G547:G606" si="266">H547-F547</f>
        <v>#REF!</v>
      </c>
      <c r="H547" s="115">
        <f>H548+H551</f>
        <v>1379.2</v>
      </c>
      <c r="I547" s="115">
        <f>I548+I551</f>
        <v>1004.2</v>
      </c>
      <c r="J547" s="115">
        <f>J548+J551</f>
        <v>1379.2</v>
      </c>
      <c r="K547" s="115">
        <f t="shared" si="254"/>
        <v>100</v>
      </c>
    </row>
    <row r="548" spans="1:11">
      <c r="A548" s="141" t="s">
        <v>263</v>
      </c>
      <c r="B548" s="111" t="s">
        <v>490</v>
      </c>
      <c r="C548" s="111" t="s">
        <v>490</v>
      </c>
      <c r="D548" s="111" t="s">
        <v>605</v>
      </c>
      <c r="E548" s="111"/>
      <c r="F548" s="112">
        <f>F549</f>
        <v>5650</v>
      </c>
      <c r="G548" s="154">
        <f t="shared" si="266"/>
        <v>-4770.8</v>
      </c>
      <c r="H548" s="112">
        <f>H549</f>
        <v>879.2</v>
      </c>
      <c r="I548" s="112">
        <f t="shared" ref="I548:J549" si="267">I549</f>
        <v>879.2</v>
      </c>
      <c r="J548" s="112">
        <f t="shared" si="267"/>
        <v>879.2</v>
      </c>
      <c r="K548" s="112">
        <f t="shared" si="254"/>
        <v>100</v>
      </c>
    </row>
    <row r="549" spans="1:11">
      <c r="A549" s="119" t="s">
        <v>596</v>
      </c>
      <c r="B549" s="120" t="s">
        <v>490</v>
      </c>
      <c r="C549" s="120" t="s">
        <v>490</v>
      </c>
      <c r="D549" s="120" t="s">
        <v>605</v>
      </c>
      <c r="E549" s="120" t="s">
        <v>84</v>
      </c>
      <c r="F549" s="121">
        <f>F550</f>
        <v>5650</v>
      </c>
      <c r="G549" s="154">
        <f t="shared" si="266"/>
        <v>-4770.8</v>
      </c>
      <c r="H549" s="121">
        <f>H550</f>
        <v>879.2</v>
      </c>
      <c r="I549" s="121">
        <f t="shared" si="267"/>
        <v>879.2</v>
      </c>
      <c r="J549" s="121">
        <f t="shared" si="267"/>
        <v>879.2</v>
      </c>
      <c r="K549" s="121">
        <f t="shared" si="254"/>
        <v>100</v>
      </c>
    </row>
    <row r="550" spans="1:11">
      <c r="A550" s="119" t="s">
        <v>85</v>
      </c>
      <c r="B550" s="120" t="s">
        <v>490</v>
      </c>
      <c r="C550" s="120" t="s">
        <v>490</v>
      </c>
      <c r="D550" s="120" t="s">
        <v>605</v>
      </c>
      <c r="E550" s="120" t="s">
        <v>86</v>
      </c>
      <c r="F550" s="121">
        <v>5650</v>
      </c>
      <c r="G550" s="154">
        <f t="shared" si="266"/>
        <v>-4770.8</v>
      </c>
      <c r="H550" s="121">
        <f>5650-4620-100-50.8</f>
        <v>879.2</v>
      </c>
      <c r="I550" s="121">
        <v>879.2</v>
      </c>
      <c r="J550" s="121">
        <f>5650-4620-100-50.8</f>
        <v>879.2</v>
      </c>
      <c r="K550" s="121">
        <f t="shared" si="254"/>
        <v>100</v>
      </c>
    </row>
    <row r="551" spans="1:11" ht="24">
      <c r="A551" s="110" t="s">
        <v>65</v>
      </c>
      <c r="B551" s="111" t="s">
        <v>490</v>
      </c>
      <c r="C551" s="111" t="s">
        <v>490</v>
      </c>
      <c r="D551" s="111" t="s">
        <v>607</v>
      </c>
      <c r="E551" s="111"/>
      <c r="F551" s="112">
        <f>F552</f>
        <v>500</v>
      </c>
      <c r="G551" s="154">
        <f t="shared" si="266"/>
        <v>0</v>
      </c>
      <c r="H551" s="112">
        <f>H552</f>
        <v>500</v>
      </c>
      <c r="I551" s="112">
        <f t="shared" ref="I551:J552" si="268">I552</f>
        <v>125</v>
      </c>
      <c r="J551" s="112">
        <f t="shared" si="268"/>
        <v>500</v>
      </c>
      <c r="K551" s="112">
        <f t="shared" si="254"/>
        <v>100</v>
      </c>
    </row>
    <row r="552" spans="1:11" ht="36">
      <c r="A552" s="119" t="s">
        <v>608</v>
      </c>
      <c r="B552" s="120" t="s">
        <v>490</v>
      </c>
      <c r="C552" s="120" t="s">
        <v>490</v>
      </c>
      <c r="D552" s="120" t="s">
        <v>607</v>
      </c>
      <c r="E552" s="120" t="s">
        <v>408</v>
      </c>
      <c r="F552" s="121">
        <f>F553</f>
        <v>500</v>
      </c>
      <c r="G552" s="154">
        <f t="shared" si="266"/>
        <v>0</v>
      </c>
      <c r="H552" s="121">
        <f>H553</f>
        <v>500</v>
      </c>
      <c r="I552" s="121">
        <f t="shared" si="268"/>
        <v>125</v>
      </c>
      <c r="J552" s="121">
        <f t="shared" si="268"/>
        <v>500</v>
      </c>
      <c r="K552" s="121">
        <f t="shared" si="254"/>
        <v>100</v>
      </c>
    </row>
    <row r="553" spans="1:11" ht="24">
      <c r="A553" s="202" t="s">
        <v>609</v>
      </c>
      <c r="B553" s="120" t="s">
        <v>490</v>
      </c>
      <c r="C553" s="120" t="s">
        <v>490</v>
      </c>
      <c r="D553" s="120" t="s">
        <v>607</v>
      </c>
      <c r="E553" s="120" t="s">
        <v>463</v>
      </c>
      <c r="F553" s="121">
        <v>500</v>
      </c>
      <c r="G553" s="154">
        <f t="shared" si="266"/>
        <v>0</v>
      </c>
      <c r="H553" s="121">
        <v>500</v>
      </c>
      <c r="I553" s="121">
        <v>125</v>
      </c>
      <c r="J553" s="121">
        <v>500</v>
      </c>
      <c r="K553" s="121">
        <f t="shared" si="254"/>
        <v>100</v>
      </c>
    </row>
    <row r="554" spans="1:11" ht="27">
      <c r="A554" s="123" t="s">
        <v>581</v>
      </c>
      <c r="B554" s="114" t="s">
        <v>490</v>
      </c>
      <c r="C554" s="114" t="s">
        <v>490</v>
      </c>
      <c r="D554" s="114" t="s">
        <v>52</v>
      </c>
      <c r="E554" s="120"/>
      <c r="F554" s="112">
        <f>F555</f>
        <v>3000</v>
      </c>
      <c r="G554" s="154">
        <f t="shared" si="266"/>
        <v>0</v>
      </c>
      <c r="H554" s="112">
        <f>H555</f>
        <v>3000</v>
      </c>
      <c r="I554" s="112">
        <f t="shared" ref="I554:J557" si="269">I555</f>
        <v>500</v>
      </c>
      <c r="J554" s="112">
        <f t="shared" si="269"/>
        <v>500</v>
      </c>
      <c r="K554" s="112">
        <f t="shared" si="254"/>
        <v>16.666666666666664</v>
      </c>
    </row>
    <row r="555" spans="1:11">
      <c r="A555" s="141" t="s">
        <v>55</v>
      </c>
      <c r="B555" s="111" t="s">
        <v>490</v>
      </c>
      <c r="C555" s="111" t="s">
        <v>490</v>
      </c>
      <c r="D555" s="111" t="s">
        <v>56</v>
      </c>
      <c r="E555" s="111"/>
      <c r="F555" s="112">
        <f>F556</f>
        <v>3000</v>
      </c>
      <c r="G555" s="154">
        <f t="shared" si="266"/>
        <v>0</v>
      </c>
      <c r="H555" s="112">
        <f>H556</f>
        <v>3000</v>
      </c>
      <c r="I555" s="112">
        <f t="shared" si="269"/>
        <v>500</v>
      </c>
      <c r="J555" s="112">
        <f t="shared" si="269"/>
        <v>500</v>
      </c>
      <c r="K555" s="112">
        <f t="shared" si="254"/>
        <v>16.666666666666664</v>
      </c>
    </row>
    <row r="556" spans="1:11" ht="24">
      <c r="A556" s="124" t="s">
        <v>353</v>
      </c>
      <c r="B556" s="125" t="s">
        <v>490</v>
      </c>
      <c r="C556" s="125" t="s">
        <v>490</v>
      </c>
      <c r="D556" s="125" t="s">
        <v>582</v>
      </c>
      <c r="E556" s="125"/>
      <c r="F556" s="126">
        <f>F557</f>
        <v>3000</v>
      </c>
      <c r="G556" s="154">
        <f t="shared" si="266"/>
        <v>0</v>
      </c>
      <c r="H556" s="126">
        <f>H557</f>
        <v>3000</v>
      </c>
      <c r="I556" s="126">
        <f t="shared" si="269"/>
        <v>500</v>
      </c>
      <c r="J556" s="126">
        <f t="shared" si="269"/>
        <v>500</v>
      </c>
      <c r="K556" s="126">
        <f t="shared" si="254"/>
        <v>16.666666666666664</v>
      </c>
    </row>
    <row r="557" spans="1:11">
      <c r="A557" s="119" t="s">
        <v>596</v>
      </c>
      <c r="B557" s="120" t="s">
        <v>490</v>
      </c>
      <c r="C557" s="120" t="s">
        <v>490</v>
      </c>
      <c r="D557" s="120" t="s">
        <v>582</v>
      </c>
      <c r="E557" s="120" t="s">
        <v>84</v>
      </c>
      <c r="F557" s="121">
        <f>F558</f>
        <v>3000</v>
      </c>
      <c r="G557" s="154">
        <f t="shared" si="266"/>
        <v>0</v>
      </c>
      <c r="H557" s="121">
        <f>H558</f>
        <v>3000</v>
      </c>
      <c r="I557" s="121">
        <f t="shared" si="269"/>
        <v>500</v>
      </c>
      <c r="J557" s="121">
        <f t="shared" si="269"/>
        <v>500</v>
      </c>
      <c r="K557" s="121">
        <f t="shared" si="254"/>
        <v>16.666666666666664</v>
      </c>
    </row>
    <row r="558" spans="1:11">
      <c r="A558" s="119" t="s">
        <v>85</v>
      </c>
      <c r="B558" s="120" t="s">
        <v>490</v>
      </c>
      <c r="C558" s="120" t="s">
        <v>490</v>
      </c>
      <c r="D558" s="120" t="s">
        <v>582</v>
      </c>
      <c r="E558" s="120" t="s">
        <v>86</v>
      </c>
      <c r="F558" s="121">
        <v>3000</v>
      </c>
      <c r="G558" s="154">
        <f t="shared" si="266"/>
        <v>0</v>
      </c>
      <c r="H558" s="121">
        <v>3000</v>
      </c>
      <c r="I558" s="121">
        <v>500</v>
      </c>
      <c r="J558" s="121">
        <v>500</v>
      </c>
      <c r="K558" s="121">
        <f t="shared" si="254"/>
        <v>16.666666666666664</v>
      </c>
    </row>
    <row r="559" spans="1:11">
      <c r="A559" s="145" t="s">
        <v>74</v>
      </c>
      <c r="B559" s="125" t="s">
        <v>490</v>
      </c>
      <c r="C559" s="125" t="s">
        <v>490</v>
      </c>
      <c r="D559" s="125" t="s">
        <v>214</v>
      </c>
      <c r="E559" s="125"/>
      <c r="F559" s="126">
        <f>F560</f>
        <v>750</v>
      </c>
      <c r="G559" s="154">
        <f t="shared" si="266"/>
        <v>-192.58616000000006</v>
      </c>
      <c r="H559" s="126">
        <f>H560</f>
        <v>557.41383999999994</v>
      </c>
      <c r="I559" s="126">
        <f t="shared" ref="I559:J560" si="270">I560</f>
        <v>71.771230000000003</v>
      </c>
      <c r="J559" s="126">
        <f t="shared" si="270"/>
        <v>457.41383999999999</v>
      </c>
      <c r="K559" s="126">
        <f t="shared" si="254"/>
        <v>82.060007695539099</v>
      </c>
    </row>
    <row r="560" spans="1:11">
      <c r="A560" s="127" t="s">
        <v>304</v>
      </c>
      <c r="B560" s="111" t="s">
        <v>490</v>
      </c>
      <c r="C560" s="111" t="s">
        <v>490</v>
      </c>
      <c r="D560" s="111" t="s">
        <v>215</v>
      </c>
      <c r="E560" s="111"/>
      <c r="F560" s="112">
        <f>F561</f>
        <v>750</v>
      </c>
      <c r="G560" s="154">
        <f t="shared" si="266"/>
        <v>-192.58616000000006</v>
      </c>
      <c r="H560" s="112">
        <f>H561</f>
        <v>557.41383999999994</v>
      </c>
      <c r="I560" s="112">
        <f t="shared" si="270"/>
        <v>71.771230000000003</v>
      </c>
      <c r="J560" s="112">
        <f t="shared" si="270"/>
        <v>457.41383999999999</v>
      </c>
      <c r="K560" s="112">
        <f t="shared" si="254"/>
        <v>82.060007695539099</v>
      </c>
    </row>
    <row r="561" spans="1:11">
      <c r="A561" s="145" t="s">
        <v>323</v>
      </c>
      <c r="B561" s="125" t="s">
        <v>490</v>
      </c>
      <c r="C561" s="125" t="s">
        <v>490</v>
      </c>
      <c r="D561" s="125" t="s">
        <v>347</v>
      </c>
      <c r="E561" s="125"/>
      <c r="F561" s="126">
        <f>F562</f>
        <v>750</v>
      </c>
      <c r="G561" s="154">
        <f t="shared" si="266"/>
        <v>-192.58616000000006</v>
      </c>
      <c r="H561" s="126">
        <f>H562+H564</f>
        <v>557.41383999999994</v>
      </c>
      <c r="I561" s="126">
        <f t="shared" ref="I561:J561" si="271">I562+I564</f>
        <v>71.771230000000003</v>
      </c>
      <c r="J561" s="126">
        <f t="shared" si="271"/>
        <v>457.41383999999999</v>
      </c>
      <c r="K561" s="126">
        <f t="shared" si="254"/>
        <v>82.060007695539099</v>
      </c>
    </row>
    <row r="562" spans="1:11">
      <c r="A562" s="119" t="s">
        <v>596</v>
      </c>
      <c r="B562" s="120" t="s">
        <v>490</v>
      </c>
      <c r="C562" s="120" t="s">
        <v>490</v>
      </c>
      <c r="D562" s="120" t="s">
        <v>347</v>
      </c>
      <c r="E562" s="120" t="s">
        <v>84</v>
      </c>
      <c r="F562" s="121">
        <f>F563</f>
        <v>750</v>
      </c>
      <c r="G562" s="154">
        <f t="shared" si="266"/>
        <v>-497.23340999999999</v>
      </c>
      <c r="H562" s="121">
        <f>H563</f>
        <v>252.76659000000001</v>
      </c>
      <c r="I562" s="121">
        <f t="shared" ref="I562:J562" si="272">I563</f>
        <v>71.771230000000003</v>
      </c>
      <c r="J562" s="121">
        <f t="shared" si="272"/>
        <v>152.76659000000001</v>
      </c>
      <c r="K562" s="121">
        <f t="shared" si="254"/>
        <v>60.437809443091354</v>
      </c>
    </row>
    <row r="563" spans="1:11">
      <c r="A563" s="119" t="s">
        <v>85</v>
      </c>
      <c r="B563" s="120" t="s">
        <v>490</v>
      </c>
      <c r="C563" s="120" t="s">
        <v>490</v>
      </c>
      <c r="D563" s="120" t="s">
        <v>347</v>
      </c>
      <c r="E563" s="120" t="s">
        <v>86</v>
      </c>
      <c r="F563" s="121">
        <v>750</v>
      </c>
      <c r="G563" s="154">
        <f t="shared" si="266"/>
        <v>-497.23340999999999</v>
      </c>
      <c r="H563" s="121">
        <f>750-304.64725-192.58616</f>
        <v>252.76659000000001</v>
      </c>
      <c r="I563" s="121">
        <v>71.771230000000003</v>
      </c>
      <c r="J563" s="121">
        <f>750-304.64725-192.58616-100</f>
        <v>152.76659000000001</v>
      </c>
      <c r="K563" s="121">
        <f t="shared" si="254"/>
        <v>60.437809443091354</v>
      </c>
    </row>
    <row r="564" spans="1:11" ht="24">
      <c r="A564" s="119" t="s">
        <v>104</v>
      </c>
      <c r="B564" s="120" t="s">
        <v>490</v>
      </c>
      <c r="C564" s="120" t="s">
        <v>490</v>
      </c>
      <c r="D564" s="120" t="s">
        <v>347</v>
      </c>
      <c r="E564" s="120" t="s">
        <v>408</v>
      </c>
      <c r="F564" s="121"/>
      <c r="G564" s="154"/>
      <c r="H564" s="121">
        <f>H565</f>
        <v>304.64724999999999</v>
      </c>
      <c r="I564" s="135">
        <f t="shared" ref="I564:J564" si="273">I565</f>
        <v>0</v>
      </c>
      <c r="J564" s="121">
        <f t="shared" si="273"/>
        <v>304.64724999999999</v>
      </c>
      <c r="K564" s="121">
        <f t="shared" si="254"/>
        <v>100</v>
      </c>
    </row>
    <row r="565" spans="1:11">
      <c r="A565" s="119" t="s">
        <v>105</v>
      </c>
      <c r="B565" s="120" t="s">
        <v>490</v>
      </c>
      <c r="C565" s="120" t="s">
        <v>490</v>
      </c>
      <c r="D565" s="120" t="s">
        <v>347</v>
      </c>
      <c r="E565" s="120" t="s">
        <v>425</v>
      </c>
      <c r="F565" s="121"/>
      <c r="G565" s="154"/>
      <c r="H565" s="121">
        <v>304.64724999999999</v>
      </c>
      <c r="I565" s="135">
        <v>0</v>
      </c>
      <c r="J565" s="121">
        <v>304.64724999999999</v>
      </c>
      <c r="K565" s="121">
        <f t="shared" si="254"/>
        <v>100</v>
      </c>
    </row>
    <row r="566" spans="1:11">
      <c r="A566" s="110" t="s">
        <v>385</v>
      </c>
      <c r="B566" s="111" t="s">
        <v>490</v>
      </c>
      <c r="C566" s="111" t="s">
        <v>484</v>
      </c>
      <c r="D566" s="111"/>
      <c r="E566" s="120"/>
      <c r="F566" s="112" t="e">
        <f>F567+F605</f>
        <v>#REF!</v>
      </c>
      <c r="G566" s="154" t="e">
        <f t="shared" si="266"/>
        <v>#REF!</v>
      </c>
      <c r="H566" s="112">
        <f>H567+H605</f>
        <v>206593.2</v>
      </c>
      <c r="I566" s="112">
        <f>I567+I605</f>
        <v>143533.48603</v>
      </c>
      <c r="J566" s="112">
        <f>J567+J605</f>
        <v>170843.2</v>
      </c>
      <c r="K566" s="112">
        <f t="shared" si="254"/>
        <v>82.695461418865676</v>
      </c>
    </row>
    <row r="567" spans="1:11" ht="27">
      <c r="A567" s="123" t="s">
        <v>691</v>
      </c>
      <c r="B567" s="114" t="s">
        <v>490</v>
      </c>
      <c r="C567" s="114" t="s">
        <v>484</v>
      </c>
      <c r="D567" s="114" t="s">
        <v>162</v>
      </c>
      <c r="E567" s="120"/>
      <c r="F567" s="115" t="e">
        <f>F568+F577+F594</f>
        <v>#REF!</v>
      </c>
      <c r="G567" s="154" t="e">
        <f t="shared" si="266"/>
        <v>#REF!</v>
      </c>
      <c r="H567" s="115">
        <f>H568+H577+H594</f>
        <v>117143.2</v>
      </c>
      <c r="I567" s="115">
        <f>I568+I577+I594</f>
        <v>90495.744980000003</v>
      </c>
      <c r="J567" s="115">
        <f>J568+J577+J594</f>
        <v>117143.2</v>
      </c>
      <c r="K567" s="115">
        <f t="shared" si="254"/>
        <v>100</v>
      </c>
    </row>
    <row r="568" spans="1:11">
      <c r="A568" s="110" t="s">
        <v>273</v>
      </c>
      <c r="B568" s="111" t="s">
        <v>490</v>
      </c>
      <c r="C568" s="111" t="s">
        <v>484</v>
      </c>
      <c r="D568" s="111" t="s">
        <v>163</v>
      </c>
      <c r="E568" s="111"/>
      <c r="F568" s="112">
        <f>F569+F573</f>
        <v>86451.199999999997</v>
      </c>
      <c r="G568" s="154">
        <f t="shared" si="266"/>
        <v>14500</v>
      </c>
      <c r="H568" s="112">
        <f>H569+H573</f>
        <v>100951.2</v>
      </c>
      <c r="I568" s="112">
        <f t="shared" ref="I568:J568" si="274">I569+I573</f>
        <v>78434.691890000002</v>
      </c>
      <c r="J568" s="112">
        <f t="shared" si="274"/>
        <v>100951.2</v>
      </c>
      <c r="K568" s="112">
        <f t="shared" si="254"/>
        <v>100</v>
      </c>
    </row>
    <row r="569" spans="1:11" ht="24">
      <c r="A569" s="124" t="s">
        <v>280</v>
      </c>
      <c r="B569" s="125" t="s">
        <v>490</v>
      </c>
      <c r="C569" s="125" t="s">
        <v>484</v>
      </c>
      <c r="D569" s="125" t="s">
        <v>279</v>
      </c>
      <c r="E569" s="125"/>
      <c r="F569" s="126">
        <f>F570</f>
        <v>9279.2000000000007</v>
      </c>
      <c r="G569" s="154">
        <f t="shared" si="266"/>
        <v>14500</v>
      </c>
      <c r="H569" s="126">
        <f>H570</f>
        <v>23779.200000000001</v>
      </c>
      <c r="I569" s="126">
        <f t="shared" ref="I569:J569" si="275">I570</f>
        <v>18592.860540000001</v>
      </c>
      <c r="J569" s="126">
        <f t="shared" si="275"/>
        <v>23779.200000000001</v>
      </c>
      <c r="K569" s="126">
        <f t="shared" si="254"/>
        <v>100</v>
      </c>
    </row>
    <row r="570" spans="1:11" ht="24">
      <c r="A570" s="119" t="s">
        <v>104</v>
      </c>
      <c r="B570" s="120" t="s">
        <v>490</v>
      </c>
      <c r="C570" s="120" t="s">
        <v>484</v>
      </c>
      <c r="D570" s="120" t="s">
        <v>684</v>
      </c>
      <c r="E570" s="120" t="s">
        <v>408</v>
      </c>
      <c r="F570" s="121">
        <f>F571</f>
        <v>9279.2000000000007</v>
      </c>
      <c r="G570" s="154">
        <f t="shared" si="266"/>
        <v>14500</v>
      </c>
      <c r="H570" s="121">
        <f>H571+H572</f>
        <v>23779.200000000001</v>
      </c>
      <c r="I570" s="121">
        <f t="shared" ref="I570:J570" si="276">I571+I572</f>
        <v>18592.860540000001</v>
      </c>
      <c r="J570" s="121">
        <f t="shared" si="276"/>
        <v>23779.200000000001</v>
      </c>
      <c r="K570" s="121">
        <f t="shared" si="254"/>
        <v>100</v>
      </c>
    </row>
    <row r="571" spans="1:11">
      <c r="A571" s="119" t="s">
        <v>105</v>
      </c>
      <c r="B571" s="120" t="s">
        <v>490</v>
      </c>
      <c r="C571" s="120" t="s">
        <v>484</v>
      </c>
      <c r="D571" s="120" t="s">
        <v>684</v>
      </c>
      <c r="E571" s="120" t="s">
        <v>425</v>
      </c>
      <c r="F571" s="121">
        <v>9279.2000000000007</v>
      </c>
      <c r="G571" s="154">
        <f t="shared" si="266"/>
        <v>12706.901000000002</v>
      </c>
      <c r="H571" s="121">
        <f>9279.2-1000+14200-493.099</f>
        <v>21986.101000000002</v>
      </c>
      <c r="I571" s="121">
        <v>16885.01354</v>
      </c>
      <c r="J571" s="121">
        <f>9279.2-1000+14200-493.099</f>
        <v>21986.101000000002</v>
      </c>
      <c r="K571" s="121">
        <f t="shared" si="254"/>
        <v>100</v>
      </c>
    </row>
    <row r="572" spans="1:11">
      <c r="A572" s="119" t="s">
        <v>516</v>
      </c>
      <c r="B572" s="120" t="s">
        <v>490</v>
      </c>
      <c r="C572" s="120" t="s">
        <v>484</v>
      </c>
      <c r="D572" s="120" t="s">
        <v>684</v>
      </c>
      <c r="E572" s="120" t="s">
        <v>517</v>
      </c>
      <c r="F572" s="121"/>
      <c r="G572" s="154"/>
      <c r="H572" s="121">
        <f>1000+300+493.099</f>
        <v>1793.0989999999999</v>
      </c>
      <c r="I572" s="121">
        <v>1707.847</v>
      </c>
      <c r="J572" s="121">
        <f>1000+300+493.099</f>
        <v>1793.0989999999999</v>
      </c>
      <c r="K572" s="121">
        <f t="shared" si="254"/>
        <v>100</v>
      </c>
    </row>
    <row r="573" spans="1:11">
      <c r="A573" s="124" t="s">
        <v>287</v>
      </c>
      <c r="B573" s="139" t="s">
        <v>490</v>
      </c>
      <c r="C573" s="139" t="s">
        <v>484</v>
      </c>
      <c r="D573" s="125" t="s">
        <v>281</v>
      </c>
      <c r="E573" s="125"/>
      <c r="F573" s="126">
        <f>F574</f>
        <v>77172</v>
      </c>
      <c r="G573" s="154">
        <f t="shared" si="266"/>
        <v>0</v>
      </c>
      <c r="H573" s="126">
        <f>H574</f>
        <v>77172</v>
      </c>
      <c r="I573" s="126">
        <f t="shared" ref="I573:J573" si="277">I574</f>
        <v>59841.83135</v>
      </c>
      <c r="J573" s="126">
        <f t="shared" si="277"/>
        <v>77172</v>
      </c>
      <c r="K573" s="126">
        <f t="shared" si="254"/>
        <v>100</v>
      </c>
    </row>
    <row r="574" spans="1:11" ht="24">
      <c r="A574" s="119" t="s">
        <v>104</v>
      </c>
      <c r="B574" s="120" t="s">
        <v>490</v>
      </c>
      <c r="C574" s="120" t="s">
        <v>484</v>
      </c>
      <c r="D574" s="120" t="s">
        <v>685</v>
      </c>
      <c r="E574" s="120" t="s">
        <v>408</v>
      </c>
      <c r="F574" s="121">
        <f>F575+F576</f>
        <v>77172</v>
      </c>
      <c r="G574" s="154">
        <f t="shared" si="266"/>
        <v>0</v>
      </c>
      <c r="H574" s="121">
        <f>H575+H576</f>
        <v>77172</v>
      </c>
      <c r="I574" s="121">
        <f t="shared" ref="I574:J574" si="278">I575+I576</f>
        <v>59841.83135</v>
      </c>
      <c r="J574" s="121">
        <f t="shared" si="278"/>
        <v>77172</v>
      </c>
      <c r="K574" s="121">
        <f t="shared" si="254"/>
        <v>100</v>
      </c>
    </row>
    <row r="575" spans="1:11">
      <c r="A575" s="119" t="s">
        <v>105</v>
      </c>
      <c r="B575" s="120" t="s">
        <v>490</v>
      </c>
      <c r="C575" s="120" t="s">
        <v>484</v>
      </c>
      <c r="D575" s="120" t="s">
        <v>685</v>
      </c>
      <c r="E575" s="120" t="s">
        <v>425</v>
      </c>
      <c r="F575" s="121">
        <v>68670</v>
      </c>
      <c r="G575" s="154">
        <f t="shared" si="266"/>
        <v>1780.4020000000019</v>
      </c>
      <c r="H575" s="121">
        <f>68670+1241+421.652+117.75</f>
        <v>70450.402000000002</v>
      </c>
      <c r="I575" s="121">
        <v>55060.492149999998</v>
      </c>
      <c r="J575" s="121">
        <f>68670+1241+421.652+117.75</f>
        <v>70450.402000000002</v>
      </c>
      <c r="K575" s="121">
        <f t="shared" si="254"/>
        <v>100</v>
      </c>
    </row>
    <row r="576" spans="1:11">
      <c r="A576" s="119" t="s">
        <v>516</v>
      </c>
      <c r="B576" s="120" t="s">
        <v>490</v>
      </c>
      <c r="C576" s="120" t="s">
        <v>484</v>
      </c>
      <c r="D576" s="120" t="s">
        <v>685</v>
      </c>
      <c r="E576" s="120" t="s">
        <v>517</v>
      </c>
      <c r="F576" s="121">
        <v>8502</v>
      </c>
      <c r="G576" s="154">
        <f t="shared" si="266"/>
        <v>-1780.402</v>
      </c>
      <c r="H576" s="121">
        <f>8502-1241-421.652-117.75</f>
        <v>6721.598</v>
      </c>
      <c r="I576" s="121">
        <v>4781.3392000000003</v>
      </c>
      <c r="J576" s="121">
        <f>8502-1241-421.652-117.75</f>
        <v>6721.598</v>
      </c>
      <c r="K576" s="121">
        <f t="shared" si="254"/>
        <v>100</v>
      </c>
    </row>
    <row r="577" spans="1:11">
      <c r="A577" s="110" t="s">
        <v>460</v>
      </c>
      <c r="B577" s="111" t="s">
        <v>490</v>
      </c>
      <c r="C577" s="111" t="s">
        <v>484</v>
      </c>
      <c r="D577" s="111" t="s">
        <v>170</v>
      </c>
      <c r="E577" s="111"/>
      <c r="F577" s="112" t="e">
        <f>F578+F586+F589</f>
        <v>#REF!</v>
      </c>
      <c r="G577" s="154" t="e">
        <f t="shared" si="266"/>
        <v>#REF!</v>
      </c>
      <c r="H577" s="112">
        <f>H578+H586+H589</f>
        <v>6170</v>
      </c>
      <c r="I577" s="112">
        <f>I578+I586+I589</f>
        <v>4014.1324000000004</v>
      </c>
      <c r="J577" s="112">
        <f>J578+J586+J589</f>
        <v>6170</v>
      </c>
      <c r="K577" s="112">
        <f t="shared" si="254"/>
        <v>100</v>
      </c>
    </row>
    <row r="578" spans="1:11" ht="24">
      <c r="A578" s="141" t="s">
        <v>173</v>
      </c>
      <c r="B578" s="111" t="s">
        <v>490</v>
      </c>
      <c r="C578" s="111" t="s">
        <v>484</v>
      </c>
      <c r="D578" s="111" t="s">
        <v>138</v>
      </c>
      <c r="E578" s="125"/>
      <c r="F578" s="112">
        <f>F579</f>
        <v>3985</v>
      </c>
      <c r="G578" s="154">
        <f t="shared" si="266"/>
        <v>100</v>
      </c>
      <c r="H578" s="112">
        <f>H579</f>
        <v>4085</v>
      </c>
      <c r="I578" s="112">
        <f t="shared" ref="I578:J578" si="279">I579</f>
        <v>3403.6184000000003</v>
      </c>
      <c r="J578" s="112">
        <f t="shared" si="279"/>
        <v>4085</v>
      </c>
      <c r="K578" s="112">
        <f t="shared" si="254"/>
        <v>100</v>
      </c>
    </row>
    <row r="579" spans="1:11">
      <c r="A579" s="143" t="s">
        <v>485</v>
      </c>
      <c r="B579" s="139" t="s">
        <v>490</v>
      </c>
      <c r="C579" s="139" t="s">
        <v>484</v>
      </c>
      <c r="D579" s="139" t="s">
        <v>687</v>
      </c>
      <c r="E579" s="139"/>
      <c r="F579" s="144">
        <f>F580+F582+F584</f>
        <v>3985</v>
      </c>
      <c r="G579" s="154">
        <f t="shared" si="266"/>
        <v>100</v>
      </c>
      <c r="H579" s="144">
        <f>H580+H582+H584</f>
        <v>4085</v>
      </c>
      <c r="I579" s="144">
        <f t="shared" ref="I579:J579" si="280">I580+I582+I584</f>
        <v>3403.6184000000003</v>
      </c>
      <c r="J579" s="144">
        <f t="shared" si="280"/>
        <v>4085</v>
      </c>
      <c r="K579" s="144">
        <f t="shared" ref="K579:K638" si="281">J579/H579*100</f>
        <v>100</v>
      </c>
    </row>
    <row r="580" spans="1:11" ht="36">
      <c r="A580" s="119" t="s">
        <v>79</v>
      </c>
      <c r="B580" s="120" t="s">
        <v>490</v>
      </c>
      <c r="C580" s="120" t="s">
        <v>484</v>
      </c>
      <c r="D580" s="120" t="s">
        <v>687</v>
      </c>
      <c r="E580" s="120" t="s">
        <v>80</v>
      </c>
      <c r="F580" s="121">
        <f>F581</f>
        <v>3800</v>
      </c>
      <c r="G580" s="154">
        <f t="shared" si="266"/>
        <v>162.34999999999991</v>
      </c>
      <c r="H580" s="121">
        <f>H581</f>
        <v>3962.35</v>
      </c>
      <c r="I580" s="121">
        <f t="shared" ref="I580:J580" si="282">I581</f>
        <v>3293.777</v>
      </c>
      <c r="J580" s="121">
        <f t="shared" si="282"/>
        <v>3962.35</v>
      </c>
      <c r="K580" s="121">
        <f t="shared" si="281"/>
        <v>100</v>
      </c>
    </row>
    <row r="581" spans="1:11">
      <c r="A581" s="119" t="s">
        <v>486</v>
      </c>
      <c r="B581" s="120" t="s">
        <v>490</v>
      </c>
      <c r="C581" s="120" t="s">
        <v>484</v>
      </c>
      <c r="D581" s="120" t="s">
        <v>687</v>
      </c>
      <c r="E581" s="120" t="s">
        <v>487</v>
      </c>
      <c r="F581" s="121">
        <f>2920+880</f>
        <v>3800</v>
      </c>
      <c r="G581" s="154">
        <f t="shared" si="266"/>
        <v>162.34999999999991</v>
      </c>
      <c r="H581" s="121">
        <f>2920+880+162.35</f>
        <v>3962.35</v>
      </c>
      <c r="I581" s="121">
        <v>3293.777</v>
      </c>
      <c r="J581" s="121">
        <f>2920+880+162.35</f>
        <v>3962.35</v>
      </c>
      <c r="K581" s="121">
        <f t="shared" si="281"/>
        <v>100</v>
      </c>
    </row>
    <row r="582" spans="1:11">
      <c r="A582" s="119" t="s">
        <v>301</v>
      </c>
      <c r="B582" s="120" t="s">
        <v>490</v>
      </c>
      <c r="C582" s="120" t="s">
        <v>484</v>
      </c>
      <c r="D582" s="120" t="s">
        <v>687</v>
      </c>
      <c r="E582" s="120" t="s">
        <v>84</v>
      </c>
      <c r="F582" s="121">
        <f>F583</f>
        <v>180</v>
      </c>
      <c r="G582" s="154">
        <f t="shared" si="266"/>
        <v>-62.349999999999994</v>
      </c>
      <c r="H582" s="121">
        <f>H583</f>
        <v>117.65</v>
      </c>
      <c r="I582" s="121">
        <f t="shared" ref="I582:J582" si="283">I583</f>
        <v>109.83320000000001</v>
      </c>
      <c r="J582" s="121">
        <f t="shared" si="283"/>
        <v>117.65</v>
      </c>
      <c r="K582" s="121">
        <f t="shared" si="281"/>
        <v>100</v>
      </c>
    </row>
    <row r="583" spans="1:11">
      <c r="A583" s="119" t="s">
        <v>85</v>
      </c>
      <c r="B583" s="120" t="s">
        <v>490</v>
      </c>
      <c r="C583" s="120" t="s">
        <v>484</v>
      </c>
      <c r="D583" s="120" t="s">
        <v>687</v>
      </c>
      <c r="E583" s="120" t="s">
        <v>86</v>
      </c>
      <c r="F583" s="121">
        <f>50+80+50</f>
        <v>180</v>
      </c>
      <c r="G583" s="154">
        <f t="shared" si="266"/>
        <v>-62.349999999999994</v>
      </c>
      <c r="H583" s="121">
        <f>50+80+50-42.14-20.21</f>
        <v>117.65</v>
      </c>
      <c r="I583" s="121">
        <v>109.83320000000001</v>
      </c>
      <c r="J583" s="121">
        <f>50+80+50-42.14-20.21</f>
        <v>117.65</v>
      </c>
      <c r="K583" s="121">
        <f t="shared" si="281"/>
        <v>100</v>
      </c>
    </row>
    <row r="584" spans="1:11">
      <c r="A584" s="119" t="s">
        <v>87</v>
      </c>
      <c r="B584" s="120" t="s">
        <v>490</v>
      </c>
      <c r="C584" s="120" t="s">
        <v>484</v>
      </c>
      <c r="D584" s="120" t="s">
        <v>687</v>
      </c>
      <c r="E584" s="120" t="s">
        <v>88</v>
      </c>
      <c r="F584" s="172">
        <f>F585</f>
        <v>5</v>
      </c>
      <c r="G584" s="154">
        <f t="shared" si="266"/>
        <v>0</v>
      </c>
      <c r="H584" s="172">
        <f>H585</f>
        <v>5</v>
      </c>
      <c r="I584" s="235">
        <f t="shared" ref="I584:J584" si="284">I585</f>
        <v>8.2000000000000007E-3</v>
      </c>
      <c r="J584" s="172">
        <f t="shared" si="284"/>
        <v>5</v>
      </c>
      <c r="K584" s="121">
        <f t="shared" si="281"/>
        <v>100</v>
      </c>
    </row>
    <row r="585" spans="1:11">
      <c r="A585" s="119" t="s">
        <v>155</v>
      </c>
      <c r="B585" s="120" t="s">
        <v>490</v>
      </c>
      <c r="C585" s="120" t="s">
        <v>484</v>
      </c>
      <c r="D585" s="120" t="s">
        <v>687</v>
      </c>
      <c r="E585" s="120" t="s">
        <v>89</v>
      </c>
      <c r="F585" s="172">
        <v>5</v>
      </c>
      <c r="G585" s="154">
        <f t="shared" si="266"/>
        <v>0</v>
      </c>
      <c r="H585" s="172">
        <v>5</v>
      </c>
      <c r="I585" s="235">
        <v>8.2000000000000007E-3</v>
      </c>
      <c r="J585" s="172">
        <v>5</v>
      </c>
      <c r="K585" s="121">
        <f t="shared" si="281"/>
        <v>100</v>
      </c>
    </row>
    <row r="586" spans="1:11" ht="24">
      <c r="A586" s="128" t="s">
        <v>288</v>
      </c>
      <c r="B586" s="125" t="s">
        <v>490</v>
      </c>
      <c r="C586" s="125" t="s">
        <v>484</v>
      </c>
      <c r="D586" s="125" t="s">
        <v>688</v>
      </c>
      <c r="E586" s="125"/>
      <c r="F586" s="126" t="e">
        <f>#REF!+F587</f>
        <v>#REF!</v>
      </c>
      <c r="G586" s="154" t="e">
        <f t="shared" si="266"/>
        <v>#REF!</v>
      </c>
      <c r="H586" s="126">
        <f>H587</f>
        <v>1535</v>
      </c>
      <c r="I586" s="126">
        <f t="shared" ref="I586:J586" si="285">I587</f>
        <v>408.20400000000001</v>
      </c>
      <c r="J586" s="126">
        <f t="shared" si="285"/>
        <v>1535</v>
      </c>
      <c r="K586" s="126">
        <f t="shared" si="281"/>
        <v>100</v>
      </c>
    </row>
    <row r="587" spans="1:11">
      <c r="A587" s="119" t="s">
        <v>301</v>
      </c>
      <c r="B587" s="120" t="s">
        <v>490</v>
      </c>
      <c r="C587" s="120" t="s">
        <v>484</v>
      </c>
      <c r="D587" s="120" t="s">
        <v>688</v>
      </c>
      <c r="E587" s="120" t="s">
        <v>84</v>
      </c>
      <c r="F587" s="121">
        <f>F588</f>
        <v>1310</v>
      </c>
      <c r="G587" s="154">
        <f t="shared" si="266"/>
        <v>225</v>
      </c>
      <c r="H587" s="121">
        <f>H588</f>
        <v>1535</v>
      </c>
      <c r="I587" s="121">
        <f t="shared" ref="I587:J587" si="286">I588</f>
        <v>408.20400000000001</v>
      </c>
      <c r="J587" s="121">
        <f t="shared" si="286"/>
        <v>1535</v>
      </c>
      <c r="K587" s="121">
        <f t="shared" si="281"/>
        <v>100</v>
      </c>
    </row>
    <row r="588" spans="1:11">
      <c r="A588" s="119" t="s">
        <v>85</v>
      </c>
      <c r="B588" s="120" t="s">
        <v>490</v>
      </c>
      <c r="C588" s="120" t="s">
        <v>484</v>
      </c>
      <c r="D588" s="120" t="s">
        <v>688</v>
      </c>
      <c r="E588" s="120" t="s">
        <v>86</v>
      </c>
      <c r="F588" s="121">
        <v>1310</v>
      </c>
      <c r="G588" s="154">
        <f t="shared" si="266"/>
        <v>225</v>
      </c>
      <c r="H588" s="121">
        <f>1310+175+50</f>
        <v>1535</v>
      </c>
      <c r="I588" s="121">
        <v>408.20400000000001</v>
      </c>
      <c r="J588" s="121">
        <f>1310+175+50</f>
        <v>1535</v>
      </c>
      <c r="K588" s="121">
        <f t="shared" si="281"/>
        <v>100</v>
      </c>
    </row>
    <row r="589" spans="1:11" ht="36">
      <c r="A589" s="159" t="s">
        <v>458</v>
      </c>
      <c r="B589" s="139" t="s">
        <v>490</v>
      </c>
      <c r="C589" s="139" t="s">
        <v>484</v>
      </c>
      <c r="D589" s="139" t="s">
        <v>689</v>
      </c>
      <c r="E589" s="139"/>
      <c r="F589" s="144" t="e">
        <f>#REF!+F590+F592</f>
        <v>#REF!</v>
      </c>
      <c r="G589" s="154" t="e">
        <f t="shared" si="266"/>
        <v>#REF!</v>
      </c>
      <c r="H589" s="144">
        <f>H590+H592</f>
        <v>550</v>
      </c>
      <c r="I589" s="144">
        <f t="shared" ref="I589:J589" si="287">I590+I592</f>
        <v>202.31</v>
      </c>
      <c r="J589" s="144">
        <f t="shared" si="287"/>
        <v>550</v>
      </c>
      <c r="K589" s="144">
        <f t="shared" si="281"/>
        <v>100</v>
      </c>
    </row>
    <row r="590" spans="1:11">
      <c r="A590" s="119" t="s">
        <v>301</v>
      </c>
      <c r="B590" s="120" t="s">
        <v>490</v>
      </c>
      <c r="C590" s="120" t="s">
        <v>484</v>
      </c>
      <c r="D590" s="120" t="s">
        <v>689</v>
      </c>
      <c r="E590" s="120" t="s">
        <v>84</v>
      </c>
      <c r="F590" s="121">
        <f>F591</f>
        <v>205</v>
      </c>
      <c r="G590" s="154">
        <f t="shared" si="266"/>
        <v>155</v>
      </c>
      <c r="H590" s="121">
        <f>H591</f>
        <v>360</v>
      </c>
      <c r="I590" s="121">
        <f t="shared" ref="I590:J590" si="288">I591</f>
        <v>202.31</v>
      </c>
      <c r="J590" s="121">
        <f t="shared" si="288"/>
        <v>360</v>
      </c>
      <c r="K590" s="121">
        <f t="shared" si="281"/>
        <v>100</v>
      </c>
    </row>
    <row r="591" spans="1:11">
      <c r="A591" s="119" t="s">
        <v>85</v>
      </c>
      <c r="B591" s="120" t="s">
        <v>490</v>
      </c>
      <c r="C591" s="120" t="s">
        <v>484</v>
      </c>
      <c r="D591" s="120" t="s">
        <v>689</v>
      </c>
      <c r="E591" s="120" t="s">
        <v>86</v>
      </c>
      <c r="F591" s="121">
        <v>205</v>
      </c>
      <c r="G591" s="154">
        <f t="shared" si="266"/>
        <v>155</v>
      </c>
      <c r="H591" s="121">
        <f>205+25+130</f>
        <v>360</v>
      </c>
      <c r="I591" s="121">
        <v>202.31</v>
      </c>
      <c r="J591" s="121">
        <f>205+25+130</f>
        <v>360</v>
      </c>
      <c r="K591" s="121">
        <f t="shared" si="281"/>
        <v>100</v>
      </c>
    </row>
    <row r="592" spans="1:11">
      <c r="A592" s="119" t="s">
        <v>95</v>
      </c>
      <c r="B592" s="120" t="s">
        <v>490</v>
      </c>
      <c r="C592" s="120" t="s">
        <v>484</v>
      </c>
      <c r="D592" s="120" t="s">
        <v>689</v>
      </c>
      <c r="E592" s="120" t="s">
        <v>94</v>
      </c>
      <c r="F592" s="121">
        <f>F593</f>
        <v>190</v>
      </c>
      <c r="G592" s="154">
        <f t="shared" si="266"/>
        <v>0</v>
      </c>
      <c r="H592" s="121">
        <f>H593</f>
        <v>190</v>
      </c>
      <c r="I592" s="135">
        <f t="shared" ref="I592:J592" si="289">I593</f>
        <v>0</v>
      </c>
      <c r="J592" s="121">
        <f t="shared" si="289"/>
        <v>190</v>
      </c>
      <c r="K592" s="121">
        <f t="shared" si="281"/>
        <v>100</v>
      </c>
    </row>
    <row r="593" spans="1:11">
      <c r="A593" s="119" t="s">
        <v>698</v>
      </c>
      <c r="B593" s="120" t="s">
        <v>490</v>
      </c>
      <c r="C593" s="120" t="s">
        <v>484</v>
      </c>
      <c r="D593" s="120" t="s">
        <v>689</v>
      </c>
      <c r="E593" s="120" t="s">
        <v>680</v>
      </c>
      <c r="F593" s="121">
        <v>190</v>
      </c>
      <c r="G593" s="154">
        <f t="shared" si="266"/>
        <v>0</v>
      </c>
      <c r="H593" s="121">
        <v>190</v>
      </c>
      <c r="I593" s="135">
        <v>0</v>
      </c>
      <c r="J593" s="121">
        <v>190</v>
      </c>
      <c r="K593" s="121">
        <f t="shared" si="281"/>
        <v>100</v>
      </c>
    </row>
    <row r="594" spans="1:11" ht="24">
      <c r="A594" s="141" t="s">
        <v>697</v>
      </c>
      <c r="B594" s="111" t="s">
        <v>490</v>
      </c>
      <c r="C594" s="111" t="s">
        <v>484</v>
      </c>
      <c r="D594" s="111" t="s">
        <v>172</v>
      </c>
      <c r="E594" s="111"/>
      <c r="F594" s="112">
        <f>F595</f>
        <v>10022</v>
      </c>
      <c r="G594" s="154">
        <f t="shared" si="266"/>
        <v>0</v>
      </c>
      <c r="H594" s="112">
        <f>H595</f>
        <v>10022</v>
      </c>
      <c r="I594" s="112">
        <f t="shared" ref="I594:J595" si="290">I595</f>
        <v>8046.9206899999999</v>
      </c>
      <c r="J594" s="112">
        <f t="shared" si="290"/>
        <v>10022</v>
      </c>
      <c r="K594" s="112">
        <f t="shared" si="281"/>
        <v>100</v>
      </c>
    </row>
    <row r="595" spans="1:11" ht="25.5">
      <c r="A595" s="173" t="s">
        <v>177</v>
      </c>
      <c r="B595" s="111" t="s">
        <v>490</v>
      </c>
      <c r="C595" s="111" t="s">
        <v>484</v>
      </c>
      <c r="D595" s="111" t="s">
        <v>172</v>
      </c>
      <c r="E595" s="111"/>
      <c r="F595" s="112">
        <f>F596</f>
        <v>10022</v>
      </c>
      <c r="G595" s="154">
        <f t="shared" si="266"/>
        <v>0</v>
      </c>
      <c r="H595" s="112">
        <f>H596</f>
        <v>10022</v>
      </c>
      <c r="I595" s="112">
        <f t="shared" si="290"/>
        <v>8046.9206899999999</v>
      </c>
      <c r="J595" s="112">
        <f t="shared" si="290"/>
        <v>10022</v>
      </c>
      <c r="K595" s="112">
        <f t="shared" si="281"/>
        <v>100</v>
      </c>
    </row>
    <row r="596" spans="1:11" ht="24">
      <c r="A596" s="124" t="s">
        <v>410</v>
      </c>
      <c r="B596" s="125" t="s">
        <v>490</v>
      </c>
      <c r="C596" s="125" t="s">
        <v>484</v>
      </c>
      <c r="D596" s="125" t="s">
        <v>172</v>
      </c>
      <c r="E596" s="125"/>
      <c r="F596" s="126">
        <f>F597+F600</f>
        <v>10022</v>
      </c>
      <c r="G596" s="154">
        <f t="shared" si="266"/>
        <v>0</v>
      </c>
      <c r="H596" s="126">
        <f>H597+H600</f>
        <v>10022</v>
      </c>
      <c r="I596" s="126">
        <f t="shared" ref="I596:J596" si="291">I597+I600</f>
        <v>8046.9206899999999</v>
      </c>
      <c r="J596" s="126">
        <f t="shared" si="291"/>
        <v>10022</v>
      </c>
      <c r="K596" s="126">
        <f t="shared" si="281"/>
        <v>100</v>
      </c>
    </row>
    <row r="597" spans="1:11">
      <c r="A597" s="127" t="s">
        <v>392</v>
      </c>
      <c r="B597" s="111" t="s">
        <v>490</v>
      </c>
      <c r="C597" s="111" t="s">
        <v>484</v>
      </c>
      <c r="D597" s="111" t="s">
        <v>292</v>
      </c>
      <c r="E597" s="111"/>
      <c r="F597" s="112">
        <f>F598</f>
        <v>9500</v>
      </c>
      <c r="G597" s="154">
        <f t="shared" si="266"/>
        <v>0</v>
      </c>
      <c r="H597" s="112">
        <f>H598</f>
        <v>9500</v>
      </c>
      <c r="I597" s="112">
        <f t="shared" ref="I597:J598" si="292">I598</f>
        <v>7687.69553</v>
      </c>
      <c r="J597" s="112">
        <f t="shared" si="292"/>
        <v>9500</v>
      </c>
      <c r="K597" s="112">
        <f t="shared" si="281"/>
        <v>100</v>
      </c>
    </row>
    <row r="598" spans="1:11" ht="36">
      <c r="A598" s="119" t="s">
        <v>79</v>
      </c>
      <c r="B598" s="120" t="s">
        <v>490</v>
      </c>
      <c r="C598" s="120" t="s">
        <v>484</v>
      </c>
      <c r="D598" s="120" t="s">
        <v>292</v>
      </c>
      <c r="E598" s="120" t="s">
        <v>80</v>
      </c>
      <c r="F598" s="121">
        <f>F599</f>
        <v>9500</v>
      </c>
      <c r="G598" s="154">
        <f t="shared" si="266"/>
        <v>0</v>
      </c>
      <c r="H598" s="121">
        <f>H599</f>
        <v>9500</v>
      </c>
      <c r="I598" s="121">
        <f t="shared" si="292"/>
        <v>7687.69553</v>
      </c>
      <c r="J598" s="121">
        <f t="shared" si="292"/>
        <v>9500</v>
      </c>
      <c r="K598" s="121">
        <f t="shared" si="281"/>
        <v>100</v>
      </c>
    </row>
    <row r="599" spans="1:11">
      <c r="A599" s="119" t="s">
        <v>81</v>
      </c>
      <c r="B599" s="120" t="s">
        <v>490</v>
      </c>
      <c r="C599" s="120" t="s">
        <v>484</v>
      </c>
      <c r="D599" s="120" t="s">
        <v>292</v>
      </c>
      <c r="E599" s="120" t="s">
        <v>82</v>
      </c>
      <c r="F599" s="121">
        <f>7300+2200</f>
        <v>9500</v>
      </c>
      <c r="G599" s="154">
        <f t="shared" si="266"/>
        <v>0</v>
      </c>
      <c r="H599" s="121">
        <f>7300+2200</f>
        <v>9500</v>
      </c>
      <c r="I599" s="121">
        <v>7687.69553</v>
      </c>
      <c r="J599" s="121">
        <f>7300+2200</f>
        <v>9500</v>
      </c>
      <c r="K599" s="121">
        <f t="shared" si="281"/>
        <v>100</v>
      </c>
    </row>
    <row r="600" spans="1:11">
      <c r="A600" s="110" t="s">
        <v>83</v>
      </c>
      <c r="B600" s="111" t="s">
        <v>490</v>
      </c>
      <c r="C600" s="111" t="s">
        <v>484</v>
      </c>
      <c r="D600" s="111" t="s">
        <v>293</v>
      </c>
      <c r="E600" s="111"/>
      <c r="F600" s="112">
        <f>F601+F603</f>
        <v>522</v>
      </c>
      <c r="G600" s="154">
        <f t="shared" si="266"/>
        <v>0</v>
      </c>
      <c r="H600" s="112">
        <f>H601+H603</f>
        <v>522</v>
      </c>
      <c r="I600" s="112">
        <f t="shared" ref="I600:J600" si="293">I601+I603</f>
        <v>359.22516000000002</v>
      </c>
      <c r="J600" s="112">
        <f t="shared" si="293"/>
        <v>522</v>
      </c>
      <c r="K600" s="112">
        <f t="shared" si="281"/>
        <v>100</v>
      </c>
    </row>
    <row r="601" spans="1:11">
      <c r="A601" s="119" t="s">
        <v>301</v>
      </c>
      <c r="B601" s="120" t="s">
        <v>490</v>
      </c>
      <c r="C601" s="120" t="s">
        <v>484</v>
      </c>
      <c r="D601" s="120" t="s">
        <v>293</v>
      </c>
      <c r="E601" s="120" t="s">
        <v>84</v>
      </c>
      <c r="F601" s="121">
        <f>F602</f>
        <v>507</v>
      </c>
      <c r="G601" s="154">
        <f t="shared" si="266"/>
        <v>0</v>
      </c>
      <c r="H601" s="121">
        <f>H602</f>
        <v>507</v>
      </c>
      <c r="I601" s="121">
        <f t="shared" ref="I601:J601" si="294">I602</f>
        <v>359.22516000000002</v>
      </c>
      <c r="J601" s="121">
        <f t="shared" si="294"/>
        <v>507</v>
      </c>
      <c r="K601" s="121">
        <f t="shared" si="281"/>
        <v>100</v>
      </c>
    </row>
    <row r="602" spans="1:11">
      <c r="A602" s="119" t="s">
        <v>85</v>
      </c>
      <c r="B602" s="120" t="s">
        <v>490</v>
      </c>
      <c r="C602" s="120" t="s">
        <v>484</v>
      </c>
      <c r="D602" s="120" t="s">
        <v>293</v>
      </c>
      <c r="E602" s="120" t="s">
        <v>86</v>
      </c>
      <c r="F602" s="121">
        <f>252+15+80+160</f>
        <v>507</v>
      </c>
      <c r="G602" s="154">
        <f t="shared" si="266"/>
        <v>0</v>
      </c>
      <c r="H602" s="121">
        <f>252+15+80+160</f>
        <v>507</v>
      </c>
      <c r="I602" s="121">
        <v>359.22516000000002</v>
      </c>
      <c r="J602" s="121">
        <f>252+15+80+160</f>
        <v>507</v>
      </c>
      <c r="K602" s="121">
        <f t="shared" si="281"/>
        <v>100</v>
      </c>
    </row>
    <row r="603" spans="1:11">
      <c r="A603" s="119" t="s">
        <v>87</v>
      </c>
      <c r="B603" s="120" t="s">
        <v>490</v>
      </c>
      <c r="C603" s="120" t="s">
        <v>484</v>
      </c>
      <c r="D603" s="120" t="s">
        <v>293</v>
      </c>
      <c r="E603" s="120" t="s">
        <v>88</v>
      </c>
      <c r="F603" s="121">
        <f>F604</f>
        <v>15</v>
      </c>
      <c r="G603" s="154">
        <f t="shared" si="266"/>
        <v>0</v>
      </c>
      <c r="H603" s="121">
        <f>H604</f>
        <v>15</v>
      </c>
      <c r="I603" s="135">
        <f t="shared" ref="I603:J603" si="295">I604</f>
        <v>0</v>
      </c>
      <c r="J603" s="121">
        <f t="shared" si="295"/>
        <v>15</v>
      </c>
      <c r="K603" s="121">
        <f t="shared" si="281"/>
        <v>100</v>
      </c>
    </row>
    <row r="604" spans="1:11">
      <c r="A604" s="119" t="s">
        <v>514</v>
      </c>
      <c r="B604" s="120" t="s">
        <v>490</v>
      </c>
      <c r="C604" s="120" t="s">
        <v>484</v>
      </c>
      <c r="D604" s="120" t="s">
        <v>293</v>
      </c>
      <c r="E604" s="120" t="s">
        <v>89</v>
      </c>
      <c r="F604" s="121">
        <v>15</v>
      </c>
      <c r="G604" s="154">
        <f t="shared" si="266"/>
        <v>0</v>
      </c>
      <c r="H604" s="121">
        <v>15</v>
      </c>
      <c r="I604" s="135">
        <v>0</v>
      </c>
      <c r="J604" s="121">
        <v>15</v>
      </c>
      <c r="K604" s="121">
        <f t="shared" si="281"/>
        <v>100</v>
      </c>
    </row>
    <row r="605" spans="1:11" ht="27">
      <c r="A605" s="123" t="s">
        <v>694</v>
      </c>
      <c r="B605" s="114" t="s">
        <v>490</v>
      </c>
      <c r="C605" s="114" t="s">
        <v>484</v>
      </c>
      <c r="D605" s="114" t="s">
        <v>272</v>
      </c>
      <c r="E605" s="114"/>
      <c r="F605" s="115">
        <f>F606+F609+F612+F615</f>
        <v>77000</v>
      </c>
      <c r="G605" s="154">
        <f t="shared" si="266"/>
        <v>12450</v>
      </c>
      <c r="H605" s="115">
        <f>H606+H609+H612+H615</f>
        <v>89450</v>
      </c>
      <c r="I605" s="115">
        <f t="shared" ref="I605:J605" si="296">I606+I609+I612+I615</f>
        <v>53037.741050000004</v>
      </c>
      <c r="J605" s="115">
        <f t="shared" si="296"/>
        <v>53700</v>
      </c>
      <c r="K605" s="126">
        <f t="shared" si="281"/>
        <v>60.033538289547231</v>
      </c>
    </row>
    <row r="606" spans="1:11">
      <c r="A606" s="141" t="s">
        <v>174</v>
      </c>
      <c r="B606" s="111" t="s">
        <v>490</v>
      </c>
      <c r="C606" s="111" t="s">
        <v>484</v>
      </c>
      <c r="D606" s="163" t="s">
        <v>646</v>
      </c>
      <c r="E606" s="111"/>
      <c r="F606" s="112">
        <f>F607</f>
        <v>40000</v>
      </c>
      <c r="G606" s="154">
        <f t="shared" si="266"/>
        <v>12950</v>
      </c>
      <c r="H606" s="112">
        <f>H607</f>
        <v>52950</v>
      </c>
      <c r="I606" s="112">
        <f t="shared" ref="I606:J607" si="297">I607</f>
        <v>52398.011050000001</v>
      </c>
      <c r="J606" s="112">
        <f t="shared" si="297"/>
        <v>52950</v>
      </c>
      <c r="K606" s="112">
        <f t="shared" si="281"/>
        <v>100</v>
      </c>
    </row>
    <row r="607" spans="1:11">
      <c r="A607" s="119" t="s">
        <v>301</v>
      </c>
      <c r="B607" s="120" t="s">
        <v>490</v>
      </c>
      <c r="C607" s="120" t="s">
        <v>484</v>
      </c>
      <c r="D607" s="164" t="s">
        <v>646</v>
      </c>
      <c r="E607" s="120" t="s">
        <v>84</v>
      </c>
      <c r="F607" s="121">
        <f>F608</f>
        <v>40000</v>
      </c>
      <c r="G607" s="155">
        <f t="shared" ref="G607:G677" si="298">H607-F607</f>
        <v>12950</v>
      </c>
      <c r="H607" s="121">
        <f>H608</f>
        <v>52950</v>
      </c>
      <c r="I607" s="121">
        <f t="shared" si="297"/>
        <v>52398.011050000001</v>
      </c>
      <c r="J607" s="121">
        <f t="shared" si="297"/>
        <v>52950</v>
      </c>
      <c r="K607" s="121">
        <f t="shared" si="281"/>
        <v>100</v>
      </c>
    </row>
    <row r="608" spans="1:11">
      <c r="A608" s="119" t="s">
        <v>85</v>
      </c>
      <c r="B608" s="120" t="s">
        <v>490</v>
      </c>
      <c r="C608" s="120" t="s">
        <v>484</v>
      </c>
      <c r="D608" s="164" t="s">
        <v>646</v>
      </c>
      <c r="E608" s="120" t="s">
        <v>86</v>
      </c>
      <c r="F608" s="121">
        <v>40000</v>
      </c>
      <c r="G608" s="155">
        <f t="shared" si="298"/>
        <v>12950</v>
      </c>
      <c r="H608" s="121">
        <f>40000-8000+20950</f>
        <v>52950</v>
      </c>
      <c r="I608" s="121">
        <v>52398.011050000001</v>
      </c>
      <c r="J608" s="121">
        <f>40000-8000+20950</f>
        <v>52950</v>
      </c>
      <c r="K608" s="121">
        <f t="shared" si="281"/>
        <v>100</v>
      </c>
    </row>
    <row r="609" spans="1:11" ht="24">
      <c r="A609" s="110" t="s">
        <v>352</v>
      </c>
      <c r="B609" s="111" t="s">
        <v>490</v>
      </c>
      <c r="C609" s="111" t="s">
        <v>484</v>
      </c>
      <c r="D609" s="163" t="s">
        <v>647</v>
      </c>
      <c r="E609" s="111"/>
      <c r="F609" s="112">
        <f>F610</f>
        <v>32000</v>
      </c>
      <c r="G609" s="154">
        <f t="shared" si="298"/>
        <v>0</v>
      </c>
      <c r="H609" s="112">
        <f>H610</f>
        <v>32000</v>
      </c>
      <c r="I609" s="134">
        <f t="shared" ref="I609:J610" si="299">I610</f>
        <v>0</v>
      </c>
      <c r="J609" s="134">
        <f t="shared" si="299"/>
        <v>0</v>
      </c>
      <c r="K609" s="134">
        <f t="shared" si="281"/>
        <v>0</v>
      </c>
    </row>
    <row r="610" spans="1:11">
      <c r="A610" s="119" t="s">
        <v>226</v>
      </c>
      <c r="B610" s="120" t="s">
        <v>490</v>
      </c>
      <c r="C610" s="120" t="s">
        <v>484</v>
      </c>
      <c r="D610" s="120" t="s">
        <v>647</v>
      </c>
      <c r="E610" s="120" t="s">
        <v>434</v>
      </c>
      <c r="F610" s="121">
        <f>F611</f>
        <v>32000</v>
      </c>
      <c r="G610" s="154">
        <f t="shared" si="298"/>
        <v>0</v>
      </c>
      <c r="H610" s="121">
        <f>H611</f>
        <v>32000</v>
      </c>
      <c r="I610" s="135">
        <f t="shared" si="299"/>
        <v>0</v>
      </c>
      <c r="J610" s="135">
        <f t="shared" si="299"/>
        <v>0</v>
      </c>
      <c r="K610" s="135">
        <f t="shared" si="281"/>
        <v>0</v>
      </c>
    </row>
    <row r="611" spans="1:11">
      <c r="A611" s="119" t="s">
        <v>435</v>
      </c>
      <c r="B611" s="120" t="s">
        <v>490</v>
      </c>
      <c r="C611" s="120" t="s">
        <v>484</v>
      </c>
      <c r="D611" s="120" t="s">
        <v>647</v>
      </c>
      <c r="E611" s="120" t="s">
        <v>436</v>
      </c>
      <c r="F611" s="121">
        <v>32000</v>
      </c>
      <c r="G611" s="154">
        <f t="shared" si="298"/>
        <v>0</v>
      </c>
      <c r="H611" s="121">
        <v>32000</v>
      </c>
      <c r="I611" s="135">
        <v>0</v>
      </c>
      <c r="J611" s="135">
        <v>0</v>
      </c>
      <c r="K611" s="135">
        <f t="shared" si="281"/>
        <v>0</v>
      </c>
    </row>
    <row r="612" spans="1:11">
      <c r="A612" s="110" t="s">
        <v>648</v>
      </c>
      <c r="B612" s="111" t="s">
        <v>490</v>
      </c>
      <c r="C612" s="111" t="s">
        <v>484</v>
      </c>
      <c r="D612" s="111" t="s">
        <v>649</v>
      </c>
      <c r="E612" s="111"/>
      <c r="F612" s="112">
        <f>F613</f>
        <v>2000</v>
      </c>
      <c r="G612" s="154">
        <f t="shared" si="298"/>
        <v>-500</v>
      </c>
      <c r="H612" s="112">
        <f>H613</f>
        <v>1500</v>
      </c>
      <c r="I612" s="134">
        <f t="shared" ref="I612:J613" si="300">I613</f>
        <v>0</v>
      </c>
      <c r="J612" s="134">
        <f t="shared" si="300"/>
        <v>0</v>
      </c>
      <c r="K612" s="134">
        <f t="shared" si="281"/>
        <v>0</v>
      </c>
    </row>
    <row r="613" spans="1:11">
      <c r="A613" s="119" t="s">
        <v>226</v>
      </c>
      <c r="B613" s="120" t="s">
        <v>490</v>
      </c>
      <c r="C613" s="120" t="s">
        <v>484</v>
      </c>
      <c r="D613" s="120" t="s">
        <v>649</v>
      </c>
      <c r="E613" s="120" t="s">
        <v>434</v>
      </c>
      <c r="F613" s="121">
        <f>F614</f>
        <v>2000</v>
      </c>
      <c r="G613" s="154">
        <f t="shared" si="298"/>
        <v>-500</v>
      </c>
      <c r="H613" s="121">
        <f>H614</f>
        <v>1500</v>
      </c>
      <c r="I613" s="135">
        <f t="shared" si="300"/>
        <v>0</v>
      </c>
      <c r="J613" s="135">
        <f t="shared" si="300"/>
        <v>0</v>
      </c>
      <c r="K613" s="135">
        <f t="shared" si="281"/>
        <v>0</v>
      </c>
    </row>
    <row r="614" spans="1:11">
      <c r="A614" s="119" t="s">
        <v>435</v>
      </c>
      <c r="B614" s="120" t="s">
        <v>490</v>
      </c>
      <c r="C614" s="120" t="s">
        <v>484</v>
      </c>
      <c r="D614" s="120" t="s">
        <v>649</v>
      </c>
      <c r="E614" s="120" t="s">
        <v>436</v>
      </c>
      <c r="F614" s="121">
        <v>2000</v>
      </c>
      <c r="G614" s="154">
        <f t="shared" si="298"/>
        <v>-500</v>
      </c>
      <c r="H614" s="121">
        <f>2000-500</f>
        <v>1500</v>
      </c>
      <c r="I614" s="135">
        <v>0</v>
      </c>
      <c r="J614" s="135">
        <v>0</v>
      </c>
      <c r="K614" s="135">
        <f t="shared" si="281"/>
        <v>0</v>
      </c>
    </row>
    <row r="615" spans="1:11">
      <c r="A615" s="141" t="s">
        <v>136</v>
      </c>
      <c r="B615" s="111" t="s">
        <v>490</v>
      </c>
      <c r="C615" s="111" t="s">
        <v>484</v>
      </c>
      <c r="D615" s="163" t="s">
        <v>640</v>
      </c>
      <c r="E615" s="111"/>
      <c r="F615" s="134">
        <f>F616</f>
        <v>3000</v>
      </c>
      <c r="G615" s="154">
        <f t="shared" si="298"/>
        <v>0</v>
      </c>
      <c r="H615" s="134">
        <f>H616</f>
        <v>3000</v>
      </c>
      <c r="I615" s="134">
        <f t="shared" ref="I615:J616" si="301">I616</f>
        <v>639.73</v>
      </c>
      <c r="J615" s="134">
        <f t="shared" si="301"/>
        <v>750</v>
      </c>
      <c r="K615" s="112">
        <f t="shared" si="281"/>
        <v>25</v>
      </c>
    </row>
    <row r="616" spans="1:11">
      <c r="A616" s="119" t="s">
        <v>301</v>
      </c>
      <c r="B616" s="120" t="s">
        <v>490</v>
      </c>
      <c r="C616" s="120" t="s">
        <v>484</v>
      </c>
      <c r="D616" s="120" t="s">
        <v>640</v>
      </c>
      <c r="E616" s="120" t="s">
        <v>84</v>
      </c>
      <c r="F616" s="135">
        <f>F617</f>
        <v>3000</v>
      </c>
      <c r="G616" s="154">
        <f t="shared" si="298"/>
        <v>0</v>
      </c>
      <c r="H616" s="135">
        <f>H617</f>
        <v>3000</v>
      </c>
      <c r="I616" s="135">
        <f t="shared" si="301"/>
        <v>639.73</v>
      </c>
      <c r="J616" s="135">
        <f t="shared" si="301"/>
        <v>750</v>
      </c>
      <c r="K616" s="121">
        <f t="shared" si="281"/>
        <v>25</v>
      </c>
    </row>
    <row r="617" spans="1:11">
      <c r="A617" s="119" t="s">
        <v>85</v>
      </c>
      <c r="B617" s="120" t="s">
        <v>490</v>
      </c>
      <c r="C617" s="120" t="s">
        <v>484</v>
      </c>
      <c r="D617" s="120" t="s">
        <v>640</v>
      </c>
      <c r="E617" s="120" t="s">
        <v>86</v>
      </c>
      <c r="F617" s="135">
        <v>3000</v>
      </c>
      <c r="G617" s="154">
        <f t="shared" si="298"/>
        <v>0</v>
      </c>
      <c r="H617" s="135">
        <v>3000</v>
      </c>
      <c r="I617" s="135">
        <v>639.73</v>
      </c>
      <c r="J617" s="135">
        <f>3000-2250</f>
        <v>750</v>
      </c>
      <c r="K617" s="121">
        <f t="shared" si="281"/>
        <v>25</v>
      </c>
    </row>
    <row r="618" spans="1:11">
      <c r="A618" s="110" t="s">
        <v>396</v>
      </c>
      <c r="B618" s="111" t="s">
        <v>488</v>
      </c>
      <c r="C618" s="111" t="s">
        <v>77</v>
      </c>
      <c r="D618" s="111"/>
      <c r="E618" s="111"/>
      <c r="F618" s="112" t="e">
        <f>F619+F639</f>
        <v>#REF!</v>
      </c>
      <c r="G618" s="154" t="e">
        <f t="shared" si="298"/>
        <v>#REF!</v>
      </c>
      <c r="H618" s="112">
        <f>H619+H639</f>
        <v>142274.46747</v>
      </c>
      <c r="I618" s="112">
        <f t="shared" ref="I618:J618" si="302">I619+I639</f>
        <v>89203.67962000001</v>
      </c>
      <c r="J618" s="112">
        <f t="shared" si="302"/>
        <v>131516.51746999999</v>
      </c>
      <c r="K618" s="112">
        <f t="shared" si="281"/>
        <v>92.438594084164521</v>
      </c>
    </row>
    <row r="619" spans="1:11">
      <c r="A619" s="110" t="s">
        <v>386</v>
      </c>
      <c r="B619" s="111" t="s">
        <v>488</v>
      </c>
      <c r="C619" s="111" t="s">
        <v>76</v>
      </c>
      <c r="D619" s="111"/>
      <c r="E619" s="111"/>
      <c r="F619" s="112">
        <f>F620</f>
        <v>90457.2</v>
      </c>
      <c r="G619" s="154">
        <f t="shared" si="298"/>
        <v>8310.6824699999997</v>
      </c>
      <c r="H619" s="112">
        <f>H620</f>
        <v>98767.882469999997</v>
      </c>
      <c r="I619" s="112">
        <f t="shared" ref="I619:J620" si="303">I620</f>
        <v>63164.460440000003</v>
      </c>
      <c r="J619" s="112">
        <f t="shared" si="303"/>
        <v>95767.882469999997</v>
      </c>
      <c r="K619" s="112">
        <f t="shared" si="281"/>
        <v>96.962575358531936</v>
      </c>
    </row>
    <row r="620" spans="1:11" ht="27">
      <c r="A620" s="123" t="s">
        <v>601</v>
      </c>
      <c r="B620" s="114" t="s">
        <v>488</v>
      </c>
      <c r="C620" s="114" t="s">
        <v>76</v>
      </c>
      <c r="D620" s="114" t="s">
        <v>256</v>
      </c>
      <c r="E620" s="114"/>
      <c r="F620" s="115">
        <f>F621</f>
        <v>90457.2</v>
      </c>
      <c r="G620" s="154">
        <f t="shared" si="298"/>
        <v>8310.6824699999997</v>
      </c>
      <c r="H620" s="115">
        <f>H621</f>
        <v>98767.882469999997</v>
      </c>
      <c r="I620" s="115">
        <f t="shared" si="303"/>
        <v>63164.460440000003</v>
      </c>
      <c r="J620" s="115">
        <f t="shared" si="303"/>
        <v>95767.882469999997</v>
      </c>
      <c r="K620" s="115">
        <f t="shared" si="281"/>
        <v>96.962575358531936</v>
      </c>
    </row>
    <row r="621" spans="1:11" ht="24">
      <c r="A621" s="110" t="s">
        <v>361</v>
      </c>
      <c r="B621" s="111" t="s">
        <v>488</v>
      </c>
      <c r="C621" s="111" t="s">
        <v>76</v>
      </c>
      <c r="D621" s="111" t="s">
        <v>257</v>
      </c>
      <c r="E621" s="111"/>
      <c r="F621" s="112">
        <f>F622+F629</f>
        <v>90457.2</v>
      </c>
      <c r="G621" s="154">
        <f t="shared" si="298"/>
        <v>8310.6824699999997</v>
      </c>
      <c r="H621" s="112">
        <f>H622+H629+H633+H636</f>
        <v>98767.882469999997</v>
      </c>
      <c r="I621" s="112">
        <f t="shared" ref="I621:J621" si="304">I622+I629+I633+I636</f>
        <v>63164.460440000003</v>
      </c>
      <c r="J621" s="112">
        <f t="shared" si="304"/>
        <v>95767.882469999997</v>
      </c>
      <c r="K621" s="112">
        <f t="shared" si="281"/>
        <v>96.962575358531936</v>
      </c>
    </row>
    <row r="622" spans="1:11" ht="24">
      <c r="A622" s="110" t="s">
        <v>294</v>
      </c>
      <c r="B622" s="111" t="s">
        <v>488</v>
      </c>
      <c r="C622" s="111" t="s">
        <v>76</v>
      </c>
      <c r="D622" s="111" t="s">
        <v>265</v>
      </c>
      <c r="E622" s="111"/>
      <c r="F622" s="112">
        <f>F623+F626</f>
        <v>50561</v>
      </c>
      <c r="G622" s="154">
        <f t="shared" si="298"/>
        <v>8240.7900000000009</v>
      </c>
      <c r="H622" s="112">
        <f>H623+H626</f>
        <v>58801.79</v>
      </c>
      <c r="I622" s="112">
        <f t="shared" ref="I622:J622" si="305">I623+I626</f>
        <v>40615.723279999998</v>
      </c>
      <c r="J622" s="112">
        <f t="shared" si="305"/>
        <v>58801.79</v>
      </c>
      <c r="K622" s="112">
        <f t="shared" si="281"/>
        <v>100</v>
      </c>
    </row>
    <row r="623" spans="1:11">
      <c r="A623" s="143" t="s">
        <v>431</v>
      </c>
      <c r="B623" s="139" t="s">
        <v>488</v>
      </c>
      <c r="C623" s="139" t="s">
        <v>76</v>
      </c>
      <c r="D623" s="139" t="s">
        <v>610</v>
      </c>
      <c r="E623" s="139"/>
      <c r="F623" s="144">
        <f>F624</f>
        <v>12192</v>
      </c>
      <c r="G623" s="154">
        <f t="shared" si="298"/>
        <v>8240.7900000000009</v>
      </c>
      <c r="H623" s="144">
        <f>H624</f>
        <v>20432.79</v>
      </c>
      <c r="I623" s="144">
        <f t="shared" ref="I623:J624" si="306">I624</f>
        <v>9022.3757900000001</v>
      </c>
      <c r="J623" s="144">
        <f t="shared" si="306"/>
        <v>20432.79</v>
      </c>
      <c r="K623" s="144">
        <f t="shared" si="281"/>
        <v>100</v>
      </c>
    </row>
    <row r="624" spans="1:11" ht="24">
      <c r="A624" s="119" t="s">
        <v>104</v>
      </c>
      <c r="B624" s="120" t="s">
        <v>488</v>
      </c>
      <c r="C624" s="120" t="s">
        <v>76</v>
      </c>
      <c r="D624" s="120" t="s">
        <v>610</v>
      </c>
      <c r="E624" s="120" t="s">
        <v>408</v>
      </c>
      <c r="F624" s="121">
        <f>F625</f>
        <v>12192</v>
      </c>
      <c r="G624" s="154">
        <f t="shared" si="298"/>
        <v>8240.7900000000009</v>
      </c>
      <c r="H624" s="121">
        <f>H625</f>
        <v>20432.79</v>
      </c>
      <c r="I624" s="121">
        <f t="shared" si="306"/>
        <v>9022.3757900000001</v>
      </c>
      <c r="J624" s="121">
        <f t="shared" si="306"/>
        <v>20432.79</v>
      </c>
      <c r="K624" s="121">
        <f t="shared" si="281"/>
        <v>100</v>
      </c>
    </row>
    <row r="625" spans="1:11">
      <c r="A625" s="119" t="s">
        <v>105</v>
      </c>
      <c r="B625" s="120" t="s">
        <v>488</v>
      </c>
      <c r="C625" s="120" t="s">
        <v>76</v>
      </c>
      <c r="D625" s="120" t="s">
        <v>610</v>
      </c>
      <c r="E625" s="120" t="s">
        <v>425</v>
      </c>
      <c r="F625" s="121">
        <f>1526.5+750+1122+8793.5</f>
        <v>12192</v>
      </c>
      <c r="G625" s="154">
        <f t="shared" si="298"/>
        <v>8240.7900000000009</v>
      </c>
      <c r="H625" s="121">
        <f>1526.5+750+1122+8793.5+2740.79+5500</f>
        <v>20432.79</v>
      </c>
      <c r="I625" s="121">
        <v>9022.3757900000001</v>
      </c>
      <c r="J625" s="121">
        <f>1526.5+750+1122+8793.5+2740.79+5500</f>
        <v>20432.79</v>
      </c>
      <c r="K625" s="121">
        <f t="shared" si="281"/>
        <v>100</v>
      </c>
    </row>
    <row r="626" spans="1:11" ht="24">
      <c r="A626" s="124" t="s">
        <v>28</v>
      </c>
      <c r="B626" s="125" t="s">
        <v>488</v>
      </c>
      <c r="C626" s="125" t="s">
        <v>76</v>
      </c>
      <c r="D626" s="125" t="s">
        <v>266</v>
      </c>
      <c r="E626" s="125"/>
      <c r="F626" s="136">
        <f>F627</f>
        <v>38369</v>
      </c>
      <c r="G626" s="154">
        <f t="shared" si="298"/>
        <v>0</v>
      </c>
      <c r="H626" s="136">
        <f>H627</f>
        <v>38369</v>
      </c>
      <c r="I626" s="136">
        <f t="shared" ref="I626:J627" si="307">I627</f>
        <v>31593.34749</v>
      </c>
      <c r="J626" s="136">
        <f t="shared" si="307"/>
        <v>38369</v>
      </c>
      <c r="K626" s="112">
        <f t="shared" si="281"/>
        <v>100</v>
      </c>
    </row>
    <row r="627" spans="1:11" ht="24">
      <c r="A627" s="119" t="s">
        <v>104</v>
      </c>
      <c r="B627" s="120" t="s">
        <v>488</v>
      </c>
      <c r="C627" s="120" t="s">
        <v>76</v>
      </c>
      <c r="D627" s="120" t="s">
        <v>266</v>
      </c>
      <c r="E627" s="120" t="s">
        <v>408</v>
      </c>
      <c r="F627" s="135">
        <f>F628</f>
        <v>38369</v>
      </c>
      <c r="G627" s="154">
        <f t="shared" si="298"/>
        <v>0</v>
      </c>
      <c r="H627" s="135">
        <f>H628</f>
        <v>38369</v>
      </c>
      <c r="I627" s="135">
        <f t="shared" si="307"/>
        <v>31593.34749</v>
      </c>
      <c r="J627" s="135">
        <f t="shared" si="307"/>
        <v>38369</v>
      </c>
      <c r="K627" s="121">
        <f t="shared" si="281"/>
        <v>100</v>
      </c>
    </row>
    <row r="628" spans="1:11">
      <c r="A628" s="119" t="s">
        <v>105</v>
      </c>
      <c r="B628" s="120" t="s">
        <v>488</v>
      </c>
      <c r="C628" s="120" t="s">
        <v>76</v>
      </c>
      <c r="D628" s="120" t="s">
        <v>266</v>
      </c>
      <c r="E628" s="120" t="s">
        <v>425</v>
      </c>
      <c r="F628" s="135">
        <v>38369</v>
      </c>
      <c r="G628" s="154">
        <f t="shared" si="298"/>
        <v>0</v>
      </c>
      <c r="H628" s="135">
        <v>38369</v>
      </c>
      <c r="I628" s="135">
        <v>31593.34749</v>
      </c>
      <c r="J628" s="135">
        <v>38369</v>
      </c>
      <c r="K628" s="121">
        <f t="shared" si="281"/>
        <v>100</v>
      </c>
    </row>
    <row r="629" spans="1:11">
      <c r="A629" s="110" t="s">
        <v>611</v>
      </c>
      <c r="B629" s="111" t="s">
        <v>488</v>
      </c>
      <c r="C629" s="111" t="s">
        <v>76</v>
      </c>
      <c r="D629" s="111" t="s">
        <v>267</v>
      </c>
      <c r="E629" s="111"/>
      <c r="F629" s="112">
        <f>F630</f>
        <v>39896.199999999997</v>
      </c>
      <c r="G629" s="154">
        <f t="shared" si="298"/>
        <v>-1</v>
      </c>
      <c r="H629" s="112">
        <f>H630</f>
        <v>39895.199999999997</v>
      </c>
      <c r="I629" s="112">
        <f t="shared" ref="I629:J631" si="308">I630</f>
        <v>22477.844690000002</v>
      </c>
      <c r="J629" s="112">
        <f t="shared" si="308"/>
        <v>36895.199999999997</v>
      </c>
      <c r="K629" s="112">
        <f t="shared" si="281"/>
        <v>92.480298381760207</v>
      </c>
    </row>
    <row r="630" spans="1:11" ht="24">
      <c r="A630" s="143" t="s">
        <v>511</v>
      </c>
      <c r="B630" s="139" t="s">
        <v>488</v>
      </c>
      <c r="C630" s="139" t="s">
        <v>76</v>
      </c>
      <c r="D630" s="139" t="s">
        <v>612</v>
      </c>
      <c r="E630" s="125"/>
      <c r="F630" s="144">
        <f>F631</f>
        <v>39896.199999999997</v>
      </c>
      <c r="G630" s="154">
        <f t="shared" si="298"/>
        <v>-1</v>
      </c>
      <c r="H630" s="144">
        <f>H631</f>
        <v>39895.199999999997</v>
      </c>
      <c r="I630" s="144">
        <f t="shared" si="308"/>
        <v>22477.844690000002</v>
      </c>
      <c r="J630" s="144">
        <f t="shared" si="308"/>
        <v>36895.199999999997</v>
      </c>
      <c r="K630" s="144">
        <f t="shared" si="281"/>
        <v>92.480298381760207</v>
      </c>
    </row>
    <row r="631" spans="1:11" ht="24">
      <c r="A631" s="119" t="s">
        <v>104</v>
      </c>
      <c r="B631" s="120" t="s">
        <v>488</v>
      </c>
      <c r="C631" s="120" t="s">
        <v>76</v>
      </c>
      <c r="D631" s="120" t="s">
        <v>612</v>
      </c>
      <c r="E631" s="120" t="s">
        <v>408</v>
      </c>
      <c r="F631" s="121">
        <f>F632</f>
        <v>39896.199999999997</v>
      </c>
      <c r="G631" s="154">
        <f t="shared" si="298"/>
        <v>-1</v>
      </c>
      <c r="H631" s="121">
        <f>H632</f>
        <v>39895.199999999997</v>
      </c>
      <c r="I631" s="121">
        <f t="shared" si="308"/>
        <v>22477.844690000002</v>
      </c>
      <c r="J631" s="121">
        <f t="shared" si="308"/>
        <v>36895.199999999997</v>
      </c>
      <c r="K631" s="121">
        <f t="shared" si="281"/>
        <v>92.480298381760207</v>
      </c>
    </row>
    <row r="632" spans="1:11">
      <c r="A632" s="119" t="s">
        <v>105</v>
      </c>
      <c r="B632" s="120" t="s">
        <v>488</v>
      </c>
      <c r="C632" s="120" t="s">
        <v>76</v>
      </c>
      <c r="D632" s="120" t="s">
        <v>612</v>
      </c>
      <c r="E632" s="120" t="s">
        <v>425</v>
      </c>
      <c r="F632" s="121">
        <v>39896.199999999997</v>
      </c>
      <c r="G632" s="154">
        <f t="shared" si="298"/>
        <v>-1</v>
      </c>
      <c r="H632" s="121">
        <f>39896.2-1</f>
        <v>39895.199999999997</v>
      </c>
      <c r="I632" s="121">
        <v>22477.844690000002</v>
      </c>
      <c r="J632" s="121">
        <f>39896.2-1-3000</f>
        <v>36895.199999999997</v>
      </c>
      <c r="K632" s="121">
        <f t="shared" si="281"/>
        <v>92.480298381760207</v>
      </c>
    </row>
    <row r="633" spans="1:11">
      <c r="A633" s="69" t="s">
        <v>730</v>
      </c>
      <c r="B633" s="21" t="s">
        <v>488</v>
      </c>
      <c r="C633" s="21" t="s">
        <v>76</v>
      </c>
      <c r="D633" s="21" t="s">
        <v>732</v>
      </c>
      <c r="E633" s="21"/>
      <c r="F633" s="121"/>
      <c r="G633" s="154"/>
      <c r="H633" s="112">
        <f>H634</f>
        <v>69.892470000000003</v>
      </c>
      <c r="I633" s="112">
        <f t="shared" ref="I633:J634" si="309">I634</f>
        <v>69.892470000000003</v>
      </c>
      <c r="J633" s="112">
        <f t="shared" si="309"/>
        <v>69.892470000000003</v>
      </c>
      <c r="K633" s="112">
        <f t="shared" si="281"/>
        <v>100</v>
      </c>
    </row>
    <row r="634" spans="1:11" ht="24">
      <c r="A634" s="72" t="s">
        <v>104</v>
      </c>
      <c r="B634" s="28" t="s">
        <v>488</v>
      </c>
      <c r="C634" s="28" t="s">
        <v>76</v>
      </c>
      <c r="D634" s="28" t="s">
        <v>732</v>
      </c>
      <c r="E634" s="28" t="s">
        <v>408</v>
      </c>
      <c r="F634" s="121"/>
      <c r="G634" s="154"/>
      <c r="H634" s="121">
        <f>H635</f>
        <v>69.892470000000003</v>
      </c>
      <c r="I634" s="121">
        <f t="shared" si="309"/>
        <v>69.892470000000003</v>
      </c>
      <c r="J634" s="121">
        <f t="shared" si="309"/>
        <v>69.892470000000003</v>
      </c>
      <c r="K634" s="121">
        <f t="shared" si="281"/>
        <v>100</v>
      </c>
    </row>
    <row r="635" spans="1:11">
      <c r="A635" s="72" t="s">
        <v>105</v>
      </c>
      <c r="B635" s="28" t="s">
        <v>488</v>
      </c>
      <c r="C635" s="28" t="s">
        <v>76</v>
      </c>
      <c r="D635" s="28" t="s">
        <v>732</v>
      </c>
      <c r="E635" s="28" t="s">
        <v>425</v>
      </c>
      <c r="F635" s="121"/>
      <c r="G635" s="154"/>
      <c r="H635" s="121">
        <v>69.892470000000003</v>
      </c>
      <c r="I635" s="121">
        <v>69.892470000000003</v>
      </c>
      <c r="J635" s="121">
        <v>69.892470000000003</v>
      </c>
      <c r="K635" s="121">
        <f t="shared" si="281"/>
        <v>100</v>
      </c>
    </row>
    <row r="636" spans="1:11">
      <c r="A636" s="69" t="s">
        <v>733</v>
      </c>
      <c r="B636" s="21" t="s">
        <v>488</v>
      </c>
      <c r="C636" s="21" t="s">
        <v>76</v>
      </c>
      <c r="D636" s="21" t="s">
        <v>734</v>
      </c>
      <c r="E636" s="21"/>
      <c r="F636" s="121"/>
      <c r="G636" s="154"/>
      <c r="H636" s="112">
        <f>H637</f>
        <v>1</v>
      </c>
      <c r="I636" s="112">
        <f t="shared" ref="I636:J637" si="310">I637</f>
        <v>1</v>
      </c>
      <c r="J636" s="112">
        <f t="shared" si="310"/>
        <v>1</v>
      </c>
      <c r="K636" s="112">
        <f t="shared" si="281"/>
        <v>100</v>
      </c>
    </row>
    <row r="637" spans="1:11" ht="24">
      <c r="A637" s="72" t="s">
        <v>104</v>
      </c>
      <c r="B637" s="28" t="s">
        <v>488</v>
      </c>
      <c r="C637" s="28" t="s">
        <v>76</v>
      </c>
      <c r="D637" s="28" t="s">
        <v>734</v>
      </c>
      <c r="E637" s="28" t="s">
        <v>408</v>
      </c>
      <c r="F637" s="121"/>
      <c r="G637" s="154"/>
      <c r="H637" s="121">
        <f>H638</f>
        <v>1</v>
      </c>
      <c r="I637" s="121">
        <f t="shared" si="310"/>
        <v>1</v>
      </c>
      <c r="J637" s="121">
        <f t="shared" si="310"/>
        <v>1</v>
      </c>
      <c r="K637" s="121">
        <f t="shared" si="281"/>
        <v>100</v>
      </c>
    </row>
    <row r="638" spans="1:11">
      <c r="A638" s="72" t="s">
        <v>105</v>
      </c>
      <c r="B638" s="28" t="s">
        <v>488</v>
      </c>
      <c r="C638" s="28" t="s">
        <v>76</v>
      </c>
      <c r="D638" s="28" t="s">
        <v>734</v>
      </c>
      <c r="E638" s="28" t="s">
        <v>425</v>
      </c>
      <c r="F638" s="121"/>
      <c r="G638" s="154"/>
      <c r="H638" s="121">
        <v>1</v>
      </c>
      <c r="I638" s="121">
        <v>1</v>
      </c>
      <c r="J638" s="121">
        <v>1</v>
      </c>
      <c r="K638" s="121">
        <f t="shared" si="281"/>
        <v>100</v>
      </c>
    </row>
    <row r="639" spans="1:11">
      <c r="A639" s="110" t="s">
        <v>468</v>
      </c>
      <c r="B639" s="111" t="s">
        <v>488</v>
      </c>
      <c r="C639" s="111" t="s">
        <v>78</v>
      </c>
      <c r="D639" s="111"/>
      <c r="E639" s="111"/>
      <c r="F639" s="112" t="e">
        <f>F647+F672</f>
        <v>#REF!</v>
      </c>
      <c r="G639" s="154" t="e">
        <f t="shared" si="298"/>
        <v>#REF!</v>
      </c>
      <c r="H639" s="112">
        <f>H647+H672+H640</f>
        <v>43506.584999999999</v>
      </c>
      <c r="I639" s="112">
        <f>I647+I672+I640</f>
        <v>26039.21918</v>
      </c>
      <c r="J639" s="112">
        <f>J647+J672+J640</f>
        <v>35748.634999999995</v>
      </c>
      <c r="K639" s="112">
        <f t="shared" ref="K639:K696" si="311">J639/H639*100</f>
        <v>82.168331529583384</v>
      </c>
    </row>
    <row r="640" spans="1:11" ht="27">
      <c r="A640" s="123" t="s">
        <v>619</v>
      </c>
      <c r="B640" s="114" t="s">
        <v>488</v>
      </c>
      <c r="C640" s="114" t="s">
        <v>78</v>
      </c>
      <c r="D640" s="149" t="s">
        <v>254</v>
      </c>
      <c r="E640" s="114"/>
      <c r="F640" s="112"/>
      <c r="G640" s="154"/>
      <c r="H640" s="115">
        <f>H641+H644</f>
        <v>351.57499999999999</v>
      </c>
      <c r="I640" s="115">
        <f t="shared" ref="I640:J640" si="312">I641+I644</f>
        <v>351.57499999999999</v>
      </c>
      <c r="J640" s="115">
        <f t="shared" si="312"/>
        <v>351.57499999999999</v>
      </c>
      <c r="K640" s="115">
        <f t="shared" si="311"/>
        <v>100</v>
      </c>
    </row>
    <row r="641" spans="1:11" ht="24">
      <c r="A641" s="110" t="s">
        <v>717</v>
      </c>
      <c r="B641" s="111" t="s">
        <v>488</v>
      </c>
      <c r="C641" s="111" t="s">
        <v>78</v>
      </c>
      <c r="D641" s="111" t="s">
        <v>718</v>
      </c>
      <c r="E641" s="111"/>
      <c r="F641" s="112"/>
      <c r="G641" s="154"/>
      <c r="H641" s="112">
        <f>H642</f>
        <v>351.07499999999999</v>
      </c>
      <c r="I641" s="112">
        <f t="shared" ref="I641:J642" si="313">I642</f>
        <v>351.07499999999999</v>
      </c>
      <c r="J641" s="112">
        <f t="shared" si="313"/>
        <v>351.07499999999999</v>
      </c>
      <c r="K641" s="112">
        <f t="shared" si="311"/>
        <v>100</v>
      </c>
    </row>
    <row r="642" spans="1:11">
      <c r="A642" s="119" t="s">
        <v>301</v>
      </c>
      <c r="B642" s="120" t="s">
        <v>488</v>
      </c>
      <c r="C642" s="120" t="s">
        <v>78</v>
      </c>
      <c r="D642" s="120" t="s">
        <v>718</v>
      </c>
      <c r="E642" s="120" t="s">
        <v>84</v>
      </c>
      <c r="F642" s="112"/>
      <c r="G642" s="154"/>
      <c r="H642" s="121">
        <f>H643</f>
        <v>351.07499999999999</v>
      </c>
      <c r="I642" s="121">
        <f t="shared" si="313"/>
        <v>351.07499999999999</v>
      </c>
      <c r="J642" s="121">
        <f t="shared" si="313"/>
        <v>351.07499999999999</v>
      </c>
      <c r="K642" s="121">
        <f t="shared" si="311"/>
        <v>100</v>
      </c>
    </row>
    <row r="643" spans="1:11">
      <c r="A643" s="119" t="s">
        <v>85</v>
      </c>
      <c r="B643" s="120" t="s">
        <v>488</v>
      </c>
      <c r="C643" s="120" t="s">
        <v>78</v>
      </c>
      <c r="D643" s="120" t="s">
        <v>718</v>
      </c>
      <c r="E643" s="120" t="s">
        <v>86</v>
      </c>
      <c r="F643" s="112"/>
      <c r="G643" s="154"/>
      <c r="H643" s="121">
        <v>351.07499999999999</v>
      </c>
      <c r="I643" s="121">
        <v>351.07499999999999</v>
      </c>
      <c r="J643" s="121">
        <v>351.07499999999999</v>
      </c>
      <c r="K643" s="121">
        <f t="shared" si="311"/>
        <v>100</v>
      </c>
    </row>
    <row r="644" spans="1:11">
      <c r="A644" s="110" t="s">
        <v>719</v>
      </c>
      <c r="B644" s="111" t="s">
        <v>488</v>
      </c>
      <c r="C644" s="111" t="s">
        <v>78</v>
      </c>
      <c r="D644" s="111" t="s">
        <v>720</v>
      </c>
      <c r="E644" s="111"/>
      <c r="F644" s="112"/>
      <c r="G644" s="154"/>
      <c r="H644" s="112">
        <f>H645</f>
        <v>0.5</v>
      </c>
      <c r="I644" s="112">
        <f t="shared" ref="I644:J645" si="314">I645</f>
        <v>0.5</v>
      </c>
      <c r="J644" s="112">
        <f t="shared" si="314"/>
        <v>0.5</v>
      </c>
      <c r="K644" s="112">
        <f t="shared" si="311"/>
        <v>100</v>
      </c>
    </row>
    <row r="645" spans="1:11">
      <c r="A645" s="119" t="s">
        <v>301</v>
      </c>
      <c r="B645" s="120" t="s">
        <v>488</v>
      </c>
      <c r="C645" s="120" t="s">
        <v>78</v>
      </c>
      <c r="D645" s="120" t="s">
        <v>720</v>
      </c>
      <c r="E645" s="120" t="s">
        <v>84</v>
      </c>
      <c r="F645" s="112"/>
      <c r="G645" s="154"/>
      <c r="H645" s="121">
        <f>H646</f>
        <v>0.5</v>
      </c>
      <c r="I645" s="121">
        <f t="shared" si="314"/>
        <v>0.5</v>
      </c>
      <c r="J645" s="121">
        <f t="shared" si="314"/>
        <v>0.5</v>
      </c>
      <c r="K645" s="121">
        <f t="shared" si="311"/>
        <v>100</v>
      </c>
    </row>
    <row r="646" spans="1:11">
      <c r="A646" s="119" t="s">
        <v>85</v>
      </c>
      <c r="B646" s="120" t="s">
        <v>488</v>
      </c>
      <c r="C646" s="120" t="s">
        <v>78</v>
      </c>
      <c r="D646" s="120" t="s">
        <v>720</v>
      </c>
      <c r="E646" s="120" t="s">
        <v>86</v>
      </c>
      <c r="F646" s="112"/>
      <c r="G646" s="154"/>
      <c r="H646" s="121">
        <v>0.5</v>
      </c>
      <c r="I646" s="121">
        <v>0.5</v>
      </c>
      <c r="J646" s="121">
        <v>0.5</v>
      </c>
      <c r="K646" s="121">
        <f t="shared" si="311"/>
        <v>100</v>
      </c>
    </row>
    <row r="647" spans="1:11" ht="27">
      <c r="A647" s="123" t="s">
        <v>601</v>
      </c>
      <c r="B647" s="114" t="s">
        <v>488</v>
      </c>
      <c r="C647" s="114" t="s">
        <v>78</v>
      </c>
      <c r="D647" s="114" t="s">
        <v>256</v>
      </c>
      <c r="E647" s="114"/>
      <c r="F647" s="115" t="e">
        <f>F648+F661</f>
        <v>#REF!</v>
      </c>
      <c r="G647" s="154" t="e">
        <f t="shared" si="298"/>
        <v>#REF!</v>
      </c>
      <c r="H647" s="115">
        <f>H648+H661</f>
        <v>22155.010000000002</v>
      </c>
      <c r="I647" s="115">
        <f>I648+I661</f>
        <v>7495.3781799999997</v>
      </c>
      <c r="J647" s="115">
        <f>J648+J661</f>
        <v>17155.010000000002</v>
      </c>
      <c r="K647" s="115">
        <f t="shared" si="311"/>
        <v>77.431741172764092</v>
      </c>
    </row>
    <row r="648" spans="1:11" ht="13.5">
      <c r="A648" s="123" t="s">
        <v>75</v>
      </c>
      <c r="B648" s="114" t="s">
        <v>488</v>
      </c>
      <c r="C648" s="114" t="s">
        <v>78</v>
      </c>
      <c r="D648" s="114" t="s">
        <v>271</v>
      </c>
      <c r="E648" s="114"/>
      <c r="F648" s="115" t="e">
        <f>F649+F652+#REF!+#REF!+F655+F658</f>
        <v>#REF!</v>
      </c>
      <c r="G648" s="154" t="e">
        <f t="shared" si="298"/>
        <v>#REF!</v>
      </c>
      <c r="H648" s="115">
        <f>H649+H652+H655+H658</f>
        <v>18130.010000000002</v>
      </c>
      <c r="I648" s="115">
        <f t="shared" ref="I648:J648" si="315">I649+I652+I655+I658</f>
        <v>4514.3194199999998</v>
      </c>
      <c r="J648" s="115">
        <f t="shared" si="315"/>
        <v>13130.010000000002</v>
      </c>
      <c r="K648" s="115">
        <f t="shared" si="311"/>
        <v>72.421416204403641</v>
      </c>
    </row>
    <row r="649" spans="1:11">
      <c r="A649" s="141" t="s">
        <v>109</v>
      </c>
      <c r="B649" s="111" t="s">
        <v>488</v>
      </c>
      <c r="C649" s="111" t="s">
        <v>78</v>
      </c>
      <c r="D649" s="111" t="s">
        <v>602</v>
      </c>
      <c r="E649" s="125"/>
      <c r="F649" s="112">
        <f>F650</f>
        <v>20100</v>
      </c>
      <c r="G649" s="154">
        <f t="shared" si="298"/>
        <v>-2395.989999999998</v>
      </c>
      <c r="H649" s="112">
        <f>H650</f>
        <v>17704.010000000002</v>
      </c>
      <c r="I649" s="112">
        <f t="shared" ref="I649:J650" si="316">I650</f>
        <v>4388.3194199999998</v>
      </c>
      <c r="J649" s="112">
        <f t="shared" si="316"/>
        <v>12704.010000000002</v>
      </c>
      <c r="K649" s="112">
        <f t="shared" si="311"/>
        <v>71.757810801055811</v>
      </c>
    </row>
    <row r="650" spans="1:11">
      <c r="A650" s="119" t="s">
        <v>596</v>
      </c>
      <c r="B650" s="120" t="s">
        <v>488</v>
      </c>
      <c r="C650" s="120" t="s">
        <v>78</v>
      </c>
      <c r="D650" s="120" t="s">
        <v>602</v>
      </c>
      <c r="E650" s="120" t="s">
        <v>84</v>
      </c>
      <c r="F650" s="121">
        <f>F651</f>
        <v>20100</v>
      </c>
      <c r="G650" s="154">
        <f t="shared" si="298"/>
        <v>-2395.989999999998</v>
      </c>
      <c r="H650" s="121">
        <f>H651</f>
        <v>17704.010000000002</v>
      </c>
      <c r="I650" s="121">
        <f t="shared" si="316"/>
        <v>4388.3194199999998</v>
      </c>
      <c r="J650" s="121">
        <f t="shared" si="316"/>
        <v>12704.010000000002</v>
      </c>
      <c r="K650" s="121">
        <f t="shared" si="311"/>
        <v>71.757810801055811</v>
      </c>
    </row>
    <row r="651" spans="1:11">
      <c r="A651" s="119" t="s">
        <v>85</v>
      </c>
      <c r="B651" s="120" t="s">
        <v>488</v>
      </c>
      <c r="C651" s="120" t="s">
        <v>78</v>
      </c>
      <c r="D651" s="120" t="s">
        <v>602</v>
      </c>
      <c r="E651" s="120" t="s">
        <v>86</v>
      </c>
      <c r="F651" s="121">
        <v>20100</v>
      </c>
      <c r="G651" s="154">
        <f t="shared" si="298"/>
        <v>-2395.989999999998</v>
      </c>
      <c r="H651" s="121">
        <f>20100-2395.99</f>
        <v>17704.010000000002</v>
      </c>
      <c r="I651" s="121">
        <v>4388.3194199999998</v>
      </c>
      <c r="J651" s="121">
        <f>20100-2395.99-5000</f>
        <v>12704.010000000002</v>
      </c>
      <c r="K651" s="121">
        <f t="shared" si="311"/>
        <v>71.757810801055811</v>
      </c>
    </row>
    <row r="652" spans="1:11">
      <c r="A652" s="141" t="s">
        <v>355</v>
      </c>
      <c r="B652" s="111" t="s">
        <v>488</v>
      </c>
      <c r="C652" s="111" t="s">
        <v>78</v>
      </c>
      <c r="D652" s="111" t="s">
        <v>613</v>
      </c>
      <c r="E652" s="125"/>
      <c r="F652" s="112">
        <f>F653</f>
        <v>200</v>
      </c>
      <c r="G652" s="154">
        <f t="shared" si="298"/>
        <v>-170</v>
      </c>
      <c r="H652" s="112">
        <f>H653</f>
        <v>30</v>
      </c>
      <c r="I652" s="112">
        <f t="shared" ref="I652:J653" si="317">I653</f>
        <v>30</v>
      </c>
      <c r="J652" s="112">
        <f t="shared" si="317"/>
        <v>30</v>
      </c>
      <c r="K652" s="112">
        <f t="shared" si="311"/>
        <v>100</v>
      </c>
    </row>
    <row r="653" spans="1:11">
      <c r="A653" s="119" t="s">
        <v>301</v>
      </c>
      <c r="B653" s="120" t="s">
        <v>488</v>
      </c>
      <c r="C653" s="120" t="s">
        <v>78</v>
      </c>
      <c r="D653" s="120" t="s">
        <v>613</v>
      </c>
      <c r="E653" s="120" t="s">
        <v>84</v>
      </c>
      <c r="F653" s="121">
        <f>F654</f>
        <v>200</v>
      </c>
      <c r="G653" s="154">
        <f t="shared" si="298"/>
        <v>-170</v>
      </c>
      <c r="H653" s="121">
        <f>H654</f>
        <v>30</v>
      </c>
      <c r="I653" s="121">
        <f t="shared" si="317"/>
        <v>30</v>
      </c>
      <c r="J653" s="121">
        <f t="shared" si="317"/>
        <v>30</v>
      </c>
      <c r="K653" s="121">
        <f t="shared" si="311"/>
        <v>100</v>
      </c>
    </row>
    <row r="654" spans="1:11">
      <c r="A654" s="119" t="s">
        <v>85</v>
      </c>
      <c r="B654" s="120" t="s">
        <v>488</v>
      </c>
      <c r="C654" s="120" t="s">
        <v>78</v>
      </c>
      <c r="D654" s="120" t="s">
        <v>613</v>
      </c>
      <c r="E654" s="120" t="s">
        <v>86</v>
      </c>
      <c r="F654" s="121">
        <v>200</v>
      </c>
      <c r="G654" s="154">
        <f t="shared" si="298"/>
        <v>-170</v>
      </c>
      <c r="H654" s="121">
        <f>200-170</f>
        <v>30</v>
      </c>
      <c r="I654" s="121">
        <v>30</v>
      </c>
      <c r="J654" s="121">
        <f>200-170</f>
        <v>30</v>
      </c>
      <c r="K654" s="121">
        <f t="shared" si="311"/>
        <v>100</v>
      </c>
    </row>
    <row r="655" spans="1:11" ht="24">
      <c r="A655" s="110" t="s">
        <v>453</v>
      </c>
      <c r="B655" s="111" t="s">
        <v>488</v>
      </c>
      <c r="C655" s="111" t="s">
        <v>78</v>
      </c>
      <c r="D655" s="111" t="s">
        <v>616</v>
      </c>
      <c r="E655" s="111"/>
      <c r="F655" s="112">
        <f>F656</f>
        <v>100</v>
      </c>
      <c r="G655" s="154">
        <f t="shared" si="298"/>
        <v>-4</v>
      </c>
      <c r="H655" s="112">
        <f>H656</f>
        <v>96</v>
      </c>
      <c r="I655" s="112">
        <f t="shared" ref="I655:J656" si="318">I656</f>
        <v>96</v>
      </c>
      <c r="J655" s="112">
        <f t="shared" si="318"/>
        <v>96</v>
      </c>
      <c r="K655" s="112">
        <f t="shared" si="311"/>
        <v>100</v>
      </c>
    </row>
    <row r="656" spans="1:11">
      <c r="A656" s="119" t="s">
        <v>301</v>
      </c>
      <c r="B656" s="120" t="s">
        <v>488</v>
      </c>
      <c r="C656" s="120" t="s">
        <v>78</v>
      </c>
      <c r="D656" s="120" t="s">
        <v>616</v>
      </c>
      <c r="E656" s="120" t="s">
        <v>84</v>
      </c>
      <c r="F656" s="121">
        <f>F657</f>
        <v>100</v>
      </c>
      <c r="G656" s="154">
        <f t="shared" si="298"/>
        <v>-4</v>
      </c>
      <c r="H656" s="121">
        <f>H657</f>
        <v>96</v>
      </c>
      <c r="I656" s="121">
        <f t="shared" si="318"/>
        <v>96</v>
      </c>
      <c r="J656" s="121">
        <f t="shared" si="318"/>
        <v>96</v>
      </c>
      <c r="K656" s="121">
        <f t="shared" si="311"/>
        <v>100</v>
      </c>
    </row>
    <row r="657" spans="1:11">
      <c r="A657" s="119" t="s">
        <v>85</v>
      </c>
      <c r="B657" s="120" t="s">
        <v>488</v>
      </c>
      <c r="C657" s="120" t="s">
        <v>78</v>
      </c>
      <c r="D657" s="120" t="s">
        <v>616</v>
      </c>
      <c r="E657" s="120" t="s">
        <v>86</v>
      </c>
      <c r="F657" s="121">
        <v>100</v>
      </c>
      <c r="G657" s="154">
        <f t="shared" si="298"/>
        <v>-4</v>
      </c>
      <c r="H657" s="121">
        <f>100-4</f>
        <v>96</v>
      </c>
      <c r="I657" s="121">
        <v>96</v>
      </c>
      <c r="J657" s="121">
        <f>100-4</f>
        <v>96</v>
      </c>
      <c r="K657" s="121">
        <f t="shared" si="311"/>
        <v>100</v>
      </c>
    </row>
    <row r="658" spans="1:11">
      <c r="A658" s="110" t="s">
        <v>340</v>
      </c>
      <c r="B658" s="111" t="s">
        <v>488</v>
      </c>
      <c r="C658" s="111" t="s">
        <v>78</v>
      </c>
      <c r="D658" s="111" t="s">
        <v>617</v>
      </c>
      <c r="E658" s="111"/>
      <c r="F658" s="112">
        <f>F659</f>
        <v>300</v>
      </c>
      <c r="G658" s="154">
        <f t="shared" si="298"/>
        <v>0</v>
      </c>
      <c r="H658" s="112">
        <f>H659</f>
        <v>300</v>
      </c>
      <c r="I658" s="134">
        <f t="shared" ref="I658:J659" si="319">I659</f>
        <v>0</v>
      </c>
      <c r="J658" s="112">
        <f t="shared" si="319"/>
        <v>300</v>
      </c>
      <c r="K658" s="112">
        <f t="shared" si="311"/>
        <v>100</v>
      </c>
    </row>
    <row r="659" spans="1:11">
      <c r="A659" s="119" t="s">
        <v>301</v>
      </c>
      <c r="B659" s="120" t="s">
        <v>488</v>
      </c>
      <c r="C659" s="120" t="s">
        <v>78</v>
      </c>
      <c r="D659" s="120" t="s">
        <v>617</v>
      </c>
      <c r="E659" s="120" t="s">
        <v>84</v>
      </c>
      <c r="F659" s="121">
        <f>F660</f>
        <v>300</v>
      </c>
      <c r="G659" s="154">
        <f t="shared" si="298"/>
        <v>0</v>
      </c>
      <c r="H659" s="121">
        <f>H660</f>
        <v>300</v>
      </c>
      <c r="I659" s="135">
        <f t="shared" si="319"/>
        <v>0</v>
      </c>
      <c r="J659" s="121">
        <f t="shared" si="319"/>
        <v>300</v>
      </c>
      <c r="K659" s="121">
        <f t="shared" si="311"/>
        <v>100</v>
      </c>
    </row>
    <row r="660" spans="1:11">
      <c r="A660" s="119" t="s">
        <v>85</v>
      </c>
      <c r="B660" s="120" t="s">
        <v>488</v>
      </c>
      <c r="C660" s="120" t="s">
        <v>78</v>
      </c>
      <c r="D660" s="120" t="s">
        <v>617</v>
      </c>
      <c r="E660" s="120" t="s">
        <v>86</v>
      </c>
      <c r="F660" s="121">
        <v>300</v>
      </c>
      <c r="G660" s="154">
        <f t="shared" si="298"/>
        <v>0</v>
      </c>
      <c r="H660" s="121">
        <v>300</v>
      </c>
      <c r="I660" s="135">
        <v>0</v>
      </c>
      <c r="J660" s="121">
        <v>300</v>
      </c>
      <c r="K660" s="121">
        <f t="shared" si="311"/>
        <v>100</v>
      </c>
    </row>
    <row r="661" spans="1:11" ht="27">
      <c r="A661" s="123" t="s">
        <v>268</v>
      </c>
      <c r="B661" s="114" t="s">
        <v>488</v>
      </c>
      <c r="C661" s="114" t="s">
        <v>78</v>
      </c>
      <c r="D661" s="114" t="s">
        <v>270</v>
      </c>
      <c r="E661" s="114"/>
      <c r="F661" s="115">
        <f>F662</f>
        <v>4025</v>
      </c>
      <c r="G661" s="154">
        <f t="shared" si="298"/>
        <v>0</v>
      </c>
      <c r="H661" s="115">
        <f>H662</f>
        <v>4025</v>
      </c>
      <c r="I661" s="115">
        <f t="shared" ref="I661:J662" si="320">I662</f>
        <v>2981.0587599999999</v>
      </c>
      <c r="J661" s="115">
        <f t="shared" si="320"/>
        <v>4025</v>
      </c>
      <c r="K661" s="126">
        <f t="shared" si="311"/>
        <v>100</v>
      </c>
    </row>
    <row r="662" spans="1:11" ht="24">
      <c r="A662" s="110" t="s">
        <v>269</v>
      </c>
      <c r="B662" s="111" t="s">
        <v>488</v>
      </c>
      <c r="C662" s="111" t="s">
        <v>78</v>
      </c>
      <c r="D662" s="111" t="s">
        <v>270</v>
      </c>
      <c r="E662" s="111"/>
      <c r="F662" s="112">
        <f>F663</f>
        <v>4025</v>
      </c>
      <c r="G662" s="154">
        <f t="shared" si="298"/>
        <v>0</v>
      </c>
      <c r="H662" s="112">
        <f>H663</f>
        <v>4025</v>
      </c>
      <c r="I662" s="112">
        <f t="shared" si="320"/>
        <v>2981.0587599999999</v>
      </c>
      <c r="J662" s="112">
        <f t="shared" si="320"/>
        <v>4025</v>
      </c>
      <c r="K662" s="112">
        <f t="shared" si="311"/>
        <v>100</v>
      </c>
    </row>
    <row r="663" spans="1:11" ht="24">
      <c r="A663" s="124" t="s">
        <v>410</v>
      </c>
      <c r="B663" s="125" t="s">
        <v>488</v>
      </c>
      <c r="C663" s="125" t="s">
        <v>78</v>
      </c>
      <c r="D663" s="139" t="s">
        <v>270</v>
      </c>
      <c r="E663" s="125"/>
      <c r="F663" s="144">
        <f>F664+F667</f>
        <v>4025</v>
      </c>
      <c r="G663" s="154">
        <f t="shared" si="298"/>
        <v>0</v>
      </c>
      <c r="H663" s="144">
        <f>H664+H667</f>
        <v>4025</v>
      </c>
      <c r="I663" s="144">
        <f t="shared" ref="I663:J663" si="321">I664+I667</f>
        <v>2981.0587599999999</v>
      </c>
      <c r="J663" s="144">
        <f t="shared" si="321"/>
        <v>4025</v>
      </c>
      <c r="K663" s="144">
        <f t="shared" si="311"/>
        <v>100</v>
      </c>
    </row>
    <row r="664" spans="1:11">
      <c r="A664" s="127" t="s">
        <v>392</v>
      </c>
      <c r="B664" s="111" t="s">
        <v>488</v>
      </c>
      <c r="C664" s="111" t="s">
        <v>78</v>
      </c>
      <c r="D664" s="111" t="s">
        <v>72</v>
      </c>
      <c r="E664" s="111"/>
      <c r="F664" s="112">
        <f>F665</f>
        <v>3750</v>
      </c>
      <c r="G664" s="154">
        <f t="shared" si="298"/>
        <v>0</v>
      </c>
      <c r="H664" s="112">
        <f>H665</f>
        <v>3750</v>
      </c>
      <c r="I664" s="112">
        <f t="shared" ref="I664:J665" si="322">I665</f>
        <v>2873.7995099999998</v>
      </c>
      <c r="J664" s="112">
        <f t="shared" si="322"/>
        <v>3750</v>
      </c>
      <c r="K664" s="112">
        <f t="shared" si="311"/>
        <v>100</v>
      </c>
    </row>
    <row r="665" spans="1:11" ht="36">
      <c r="A665" s="119" t="s">
        <v>79</v>
      </c>
      <c r="B665" s="120" t="s">
        <v>488</v>
      </c>
      <c r="C665" s="120" t="s">
        <v>78</v>
      </c>
      <c r="D665" s="120" t="s">
        <v>72</v>
      </c>
      <c r="E665" s="120" t="s">
        <v>80</v>
      </c>
      <c r="F665" s="121">
        <f>F666</f>
        <v>3750</v>
      </c>
      <c r="G665" s="154">
        <f t="shared" si="298"/>
        <v>0</v>
      </c>
      <c r="H665" s="121">
        <f>H666</f>
        <v>3750</v>
      </c>
      <c r="I665" s="121">
        <f t="shared" si="322"/>
        <v>2873.7995099999998</v>
      </c>
      <c r="J665" s="121">
        <f t="shared" si="322"/>
        <v>3750</v>
      </c>
      <c r="K665" s="121">
        <f t="shared" si="311"/>
        <v>100</v>
      </c>
    </row>
    <row r="666" spans="1:11">
      <c r="A666" s="119" t="s">
        <v>81</v>
      </c>
      <c r="B666" s="120" t="s">
        <v>488</v>
      </c>
      <c r="C666" s="120" t="s">
        <v>78</v>
      </c>
      <c r="D666" s="120" t="s">
        <v>72</v>
      </c>
      <c r="E666" s="120" t="s">
        <v>82</v>
      </c>
      <c r="F666" s="121">
        <f>2870+20+860</f>
        <v>3750</v>
      </c>
      <c r="G666" s="154">
        <f t="shared" si="298"/>
        <v>0</v>
      </c>
      <c r="H666" s="121">
        <f>2870+20+860</f>
        <v>3750</v>
      </c>
      <c r="I666" s="121">
        <v>2873.7995099999998</v>
      </c>
      <c r="J666" s="121">
        <f>2870+20+860</f>
        <v>3750</v>
      </c>
      <c r="K666" s="121">
        <f t="shared" si="311"/>
        <v>100</v>
      </c>
    </row>
    <row r="667" spans="1:11">
      <c r="A667" s="110" t="s">
        <v>83</v>
      </c>
      <c r="B667" s="111" t="s">
        <v>488</v>
      </c>
      <c r="C667" s="111" t="s">
        <v>78</v>
      </c>
      <c r="D667" s="111" t="s">
        <v>73</v>
      </c>
      <c r="E667" s="111"/>
      <c r="F667" s="112">
        <f>F668+F670</f>
        <v>275</v>
      </c>
      <c r="G667" s="154">
        <f t="shared" si="298"/>
        <v>0</v>
      </c>
      <c r="H667" s="112">
        <f>H668+H670</f>
        <v>275</v>
      </c>
      <c r="I667" s="112">
        <f t="shared" ref="I667:J667" si="323">I668+I670</f>
        <v>107.25924999999999</v>
      </c>
      <c r="J667" s="112">
        <f t="shared" si="323"/>
        <v>275</v>
      </c>
      <c r="K667" s="112">
        <f t="shared" si="311"/>
        <v>100</v>
      </c>
    </row>
    <row r="668" spans="1:11">
      <c r="A668" s="119" t="s">
        <v>301</v>
      </c>
      <c r="B668" s="120" t="s">
        <v>488</v>
      </c>
      <c r="C668" s="120" t="s">
        <v>78</v>
      </c>
      <c r="D668" s="120" t="s">
        <v>73</v>
      </c>
      <c r="E668" s="120" t="s">
        <v>84</v>
      </c>
      <c r="F668" s="121">
        <f>F669</f>
        <v>235</v>
      </c>
      <c r="G668" s="154">
        <f t="shared" si="298"/>
        <v>0</v>
      </c>
      <c r="H668" s="121">
        <f>H669</f>
        <v>235</v>
      </c>
      <c r="I668" s="121">
        <f t="shared" ref="I668:J668" si="324">I669</f>
        <v>107.25924999999999</v>
      </c>
      <c r="J668" s="121">
        <f t="shared" si="324"/>
        <v>235</v>
      </c>
      <c r="K668" s="121">
        <f t="shared" si="311"/>
        <v>100</v>
      </c>
    </row>
    <row r="669" spans="1:11">
      <c r="A669" s="119" t="s">
        <v>85</v>
      </c>
      <c r="B669" s="120" t="s">
        <v>488</v>
      </c>
      <c r="C669" s="120" t="s">
        <v>78</v>
      </c>
      <c r="D669" s="120" t="s">
        <v>73</v>
      </c>
      <c r="E669" s="120" t="s">
        <v>86</v>
      </c>
      <c r="F669" s="121">
        <f>85+100+50</f>
        <v>235</v>
      </c>
      <c r="G669" s="154">
        <f t="shared" si="298"/>
        <v>0</v>
      </c>
      <c r="H669" s="121">
        <f>85+100+50</f>
        <v>235</v>
      </c>
      <c r="I669" s="121">
        <v>107.25924999999999</v>
      </c>
      <c r="J669" s="121">
        <f>85+100+50</f>
        <v>235</v>
      </c>
      <c r="K669" s="121">
        <f t="shared" si="311"/>
        <v>100</v>
      </c>
    </row>
    <row r="670" spans="1:11">
      <c r="A670" s="119" t="s">
        <v>87</v>
      </c>
      <c r="B670" s="120" t="s">
        <v>488</v>
      </c>
      <c r="C670" s="120" t="s">
        <v>78</v>
      </c>
      <c r="D670" s="120" t="s">
        <v>73</v>
      </c>
      <c r="E670" s="120" t="s">
        <v>88</v>
      </c>
      <c r="F670" s="121">
        <f>F671</f>
        <v>40</v>
      </c>
      <c r="G670" s="154">
        <f t="shared" si="298"/>
        <v>0</v>
      </c>
      <c r="H670" s="121">
        <f>H671</f>
        <v>40</v>
      </c>
      <c r="I670" s="135">
        <f t="shared" ref="I670:J670" si="325">I671</f>
        <v>0</v>
      </c>
      <c r="J670" s="121">
        <f t="shared" si="325"/>
        <v>40</v>
      </c>
      <c r="K670" s="121">
        <f t="shared" si="311"/>
        <v>100</v>
      </c>
    </row>
    <row r="671" spans="1:11">
      <c r="A671" s="119" t="s">
        <v>514</v>
      </c>
      <c r="B671" s="120" t="s">
        <v>488</v>
      </c>
      <c r="C671" s="120" t="s">
        <v>78</v>
      </c>
      <c r="D671" s="120" t="s">
        <v>73</v>
      </c>
      <c r="E671" s="120" t="s">
        <v>89</v>
      </c>
      <c r="F671" s="121">
        <v>40</v>
      </c>
      <c r="G671" s="154">
        <f t="shared" si="298"/>
        <v>0</v>
      </c>
      <c r="H671" s="121">
        <v>40</v>
      </c>
      <c r="I671" s="135">
        <v>0</v>
      </c>
      <c r="J671" s="121">
        <v>40</v>
      </c>
      <c r="K671" s="121">
        <f t="shared" si="311"/>
        <v>100</v>
      </c>
    </row>
    <row r="672" spans="1:11" ht="27">
      <c r="A672" s="123" t="s">
        <v>694</v>
      </c>
      <c r="B672" s="114" t="s">
        <v>488</v>
      </c>
      <c r="C672" s="114" t="s">
        <v>78</v>
      </c>
      <c r="D672" s="114" t="s">
        <v>272</v>
      </c>
      <c r="E672" s="114"/>
      <c r="F672" s="115">
        <f>F673+F676</f>
        <v>13000</v>
      </c>
      <c r="G672" s="154">
        <f t="shared" si="298"/>
        <v>8000</v>
      </c>
      <c r="H672" s="115">
        <f>H673+H676</f>
        <v>21000</v>
      </c>
      <c r="I672" s="115">
        <f t="shared" ref="I672:J672" si="326">I673+I676</f>
        <v>18192.266</v>
      </c>
      <c r="J672" s="115">
        <f t="shared" si="326"/>
        <v>18242.05</v>
      </c>
      <c r="K672" s="126">
        <f t="shared" si="311"/>
        <v>86.866904761904763</v>
      </c>
    </row>
    <row r="673" spans="1:11" ht="24">
      <c r="A673" s="110" t="s">
        <v>706</v>
      </c>
      <c r="B673" s="111" t="s">
        <v>488</v>
      </c>
      <c r="C673" s="111" t="s">
        <v>78</v>
      </c>
      <c r="D673" s="111" t="s">
        <v>650</v>
      </c>
      <c r="E673" s="111"/>
      <c r="F673" s="112">
        <f>F674</f>
        <v>10000</v>
      </c>
      <c r="G673" s="154">
        <f t="shared" si="298"/>
        <v>8000</v>
      </c>
      <c r="H673" s="112">
        <f>H674</f>
        <v>18000</v>
      </c>
      <c r="I673" s="112">
        <f t="shared" ref="I673:J674" si="327">I674</f>
        <v>17972.05</v>
      </c>
      <c r="J673" s="112">
        <f t="shared" si="327"/>
        <v>17972.05</v>
      </c>
      <c r="K673" s="112">
        <f t="shared" si="311"/>
        <v>99.844722222222217</v>
      </c>
    </row>
    <row r="674" spans="1:11">
      <c r="A674" s="119" t="s">
        <v>226</v>
      </c>
      <c r="B674" s="120" t="s">
        <v>488</v>
      </c>
      <c r="C674" s="120" t="s">
        <v>78</v>
      </c>
      <c r="D674" s="120" t="s">
        <v>650</v>
      </c>
      <c r="E674" s="120" t="s">
        <v>434</v>
      </c>
      <c r="F674" s="121">
        <f>F675</f>
        <v>10000</v>
      </c>
      <c r="G674" s="155">
        <f t="shared" si="298"/>
        <v>8000</v>
      </c>
      <c r="H674" s="121">
        <f>H675</f>
        <v>18000</v>
      </c>
      <c r="I674" s="121">
        <f t="shared" si="327"/>
        <v>17972.05</v>
      </c>
      <c r="J674" s="121">
        <f t="shared" si="327"/>
        <v>17972.05</v>
      </c>
      <c r="K674" s="121">
        <f t="shared" si="311"/>
        <v>99.844722222222217</v>
      </c>
    </row>
    <row r="675" spans="1:11">
      <c r="A675" s="119" t="s">
        <v>435</v>
      </c>
      <c r="B675" s="120" t="s">
        <v>488</v>
      </c>
      <c r="C675" s="120" t="s">
        <v>78</v>
      </c>
      <c r="D675" s="120" t="s">
        <v>650</v>
      </c>
      <c r="E675" s="120" t="s">
        <v>436</v>
      </c>
      <c r="F675" s="121">
        <v>10000</v>
      </c>
      <c r="G675" s="155">
        <f t="shared" si="298"/>
        <v>8000</v>
      </c>
      <c r="H675" s="121">
        <f>10000+8000</f>
        <v>18000</v>
      </c>
      <c r="I675" s="121">
        <v>17972.05</v>
      </c>
      <c r="J675" s="121">
        <f>10000+8000-27.95</f>
        <v>17972.05</v>
      </c>
      <c r="K675" s="121">
        <f t="shared" si="311"/>
        <v>99.844722222222217</v>
      </c>
    </row>
    <row r="676" spans="1:11">
      <c r="A676" s="141" t="s">
        <v>136</v>
      </c>
      <c r="B676" s="111" t="s">
        <v>488</v>
      </c>
      <c r="C676" s="111" t="s">
        <v>78</v>
      </c>
      <c r="D676" s="111" t="s">
        <v>640</v>
      </c>
      <c r="E676" s="111"/>
      <c r="F676" s="112">
        <f>F677+F679</f>
        <v>3000</v>
      </c>
      <c r="G676" s="154">
        <f t="shared" si="298"/>
        <v>0</v>
      </c>
      <c r="H676" s="112">
        <f>H677+H679</f>
        <v>3000</v>
      </c>
      <c r="I676" s="112">
        <f t="shared" ref="I676:J676" si="328">I677+I679</f>
        <v>220.21600000000001</v>
      </c>
      <c r="J676" s="112">
        <f t="shared" si="328"/>
        <v>270</v>
      </c>
      <c r="K676" s="112">
        <f t="shared" si="311"/>
        <v>9</v>
      </c>
    </row>
    <row r="677" spans="1:11">
      <c r="A677" s="119" t="s">
        <v>301</v>
      </c>
      <c r="B677" s="120" t="s">
        <v>488</v>
      </c>
      <c r="C677" s="120" t="s">
        <v>78</v>
      </c>
      <c r="D677" s="120" t="s">
        <v>640</v>
      </c>
      <c r="E677" s="120" t="s">
        <v>84</v>
      </c>
      <c r="F677" s="121">
        <f>F678</f>
        <v>500</v>
      </c>
      <c r="G677" s="154">
        <f t="shared" si="298"/>
        <v>0</v>
      </c>
      <c r="H677" s="121">
        <f>H678</f>
        <v>500</v>
      </c>
      <c r="I677" s="121">
        <f t="shared" ref="I677:J677" si="329">I678</f>
        <v>220.21600000000001</v>
      </c>
      <c r="J677" s="121">
        <f t="shared" si="329"/>
        <v>270</v>
      </c>
      <c r="K677" s="121">
        <f t="shared" si="311"/>
        <v>54</v>
      </c>
    </row>
    <row r="678" spans="1:11">
      <c r="A678" s="119" t="s">
        <v>85</v>
      </c>
      <c r="B678" s="120" t="s">
        <v>488</v>
      </c>
      <c r="C678" s="120" t="s">
        <v>78</v>
      </c>
      <c r="D678" s="120" t="s">
        <v>640</v>
      </c>
      <c r="E678" s="120" t="s">
        <v>86</v>
      </c>
      <c r="F678" s="121">
        <v>500</v>
      </c>
      <c r="G678" s="154">
        <f t="shared" ref="G678:G748" si="330">H678-F678</f>
        <v>0</v>
      </c>
      <c r="H678" s="121">
        <v>500</v>
      </c>
      <c r="I678" s="121">
        <v>220.21600000000001</v>
      </c>
      <c r="J678" s="121">
        <f>500-230</f>
        <v>270</v>
      </c>
      <c r="K678" s="121">
        <f t="shared" si="311"/>
        <v>54</v>
      </c>
    </row>
    <row r="679" spans="1:11">
      <c r="A679" s="119" t="s">
        <v>226</v>
      </c>
      <c r="B679" s="120" t="s">
        <v>488</v>
      </c>
      <c r="C679" s="120" t="s">
        <v>78</v>
      </c>
      <c r="D679" s="120" t="s">
        <v>640</v>
      </c>
      <c r="E679" s="120" t="s">
        <v>434</v>
      </c>
      <c r="F679" s="121">
        <f>F680</f>
        <v>2500</v>
      </c>
      <c r="G679" s="154">
        <f t="shared" si="330"/>
        <v>0</v>
      </c>
      <c r="H679" s="121">
        <f>H680</f>
        <v>2500</v>
      </c>
      <c r="I679" s="135">
        <f t="shared" ref="I679:J679" si="331">I680</f>
        <v>0</v>
      </c>
      <c r="J679" s="135">
        <f t="shared" si="331"/>
        <v>0</v>
      </c>
      <c r="K679" s="135">
        <f t="shared" si="311"/>
        <v>0</v>
      </c>
    </row>
    <row r="680" spans="1:11">
      <c r="A680" s="119" t="s">
        <v>435</v>
      </c>
      <c r="B680" s="120" t="s">
        <v>488</v>
      </c>
      <c r="C680" s="120" t="s">
        <v>78</v>
      </c>
      <c r="D680" s="120" t="s">
        <v>640</v>
      </c>
      <c r="E680" s="120" t="s">
        <v>436</v>
      </c>
      <c r="F680" s="121">
        <v>2500</v>
      </c>
      <c r="G680" s="154">
        <f t="shared" si="330"/>
        <v>0</v>
      </c>
      <c r="H680" s="121">
        <v>2500</v>
      </c>
      <c r="I680" s="135">
        <v>0</v>
      </c>
      <c r="J680" s="135">
        <v>0</v>
      </c>
      <c r="K680" s="135">
        <f t="shared" si="311"/>
        <v>0</v>
      </c>
    </row>
    <row r="681" spans="1:11">
      <c r="A681" s="110" t="s">
        <v>406</v>
      </c>
      <c r="B681" s="111" t="s">
        <v>515</v>
      </c>
      <c r="C681" s="111" t="s">
        <v>77</v>
      </c>
      <c r="D681" s="111"/>
      <c r="E681" s="111"/>
      <c r="F681" s="112" t="e">
        <f>F682+F688+F712</f>
        <v>#REF!</v>
      </c>
      <c r="G681" s="154" t="e">
        <f t="shared" si="330"/>
        <v>#REF!</v>
      </c>
      <c r="H681" s="112">
        <f>H682+H688+H712</f>
        <v>95481.396999999997</v>
      </c>
      <c r="I681" s="112">
        <f t="shared" ref="I681:J681" si="332">I682+I688+I712</f>
        <v>54405.994020000006</v>
      </c>
      <c r="J681" s="112">
        <f t="shared" si="332"/>
        <v>90134.889450000002</v>
      </c>
      <c r="K681" s="112">
        <f t="shared" si="311"/>
        <v>94.400472010270235</v>
      </c>
    </row>
    <row r="682" spans="1:11">
      <c r="A682" s="110" t="s">
        <v>389</v>
      </c>
      <c r="B682" s="111" t="s">
        <v>515</v>
      </c>
      <c r="C682" s="111" t="s">
        <v>76</v>
      </c>
      <c r="D682" s="111" t="s">
        <v>214</v>
      </c>
      <c r="E682" s="111"/>
      <c r="F682" s="112">
        <f>F683</f>
        <v>17150</v>
      </c>
      <c r="G682" s="154">
        <f t="shared" si="330"/>
        <v>0</v>
      </c>
      <c r="H682" s="112">
        <f>H683</f>
        <v>17150</v>
      </c>
      <c r="I682" s="112">
        <f t="shared" ref="I682:J686" si="333">I683</f>
        <v>12853.00036</v>
      </c>
      <c r="J682" s="112">
        <f t="shared" si="333"/>
        <v>17150</v>
      </c>
      <c r="K682" s="112">
        <f t="shared" si="311"/>
        <v>100</v>
      </c>
    </row>
    <row r="683" spans="1:11">
      <c r="A683" s="124" t="s">
        <v>455</v>
      </c>
      <c r="B683" s="125" t="s">
        <v>515</v>
      </c>
      <c r="C683" s="125" t="s">
        <v>76</v>
      </c>
      <c r="D683" s="125" t="s">
        <v>214</v>
      </c>
      <c r="E683" s="111"/>
      <c r="F683" s="126">
        <f>F684</f>
        <v>17150</v>
      </c>
      <c r="G683" s="154">
        <f t="shared" si="330"/>
        <v>0</v>
      </c>
      <c r="H683" s="126">
        <f>H684</f>
        <v>17150</v>
      </c>
      <c r="I683" s="126">
        <f t="shared" si="333"/>
        <v>12853.00036</v>
      </c>
      <c r="J683" s="126">
        <f t="shared" si="333"/>
        <v>17150</v>
      </c>
      <c r="K683" s="126">
        <f t="shared" si="311"/>
        <v>100</v>
      </c>
    </row>
    <row r="684" spans="1:11">
      <c r="A684" s="110" t="s">
        <v>304</v>
      </c>
      <c r="B684" s="111" t="s">
        <v>515</v>
      </c>
      <c r="C684" s="111" t="s">
        <v>76</v>
      </c>
      <c r="D684" s="111" t="s">
        <v>215</v>
      </c>
      <c r="E684" s="111"/>
      <c r="F684" s="112">
        <f>F685</f>
        <v>17150</v>
      </c>
      <c r="G684" s="154">
        <f t="shared" si="330"/>
        <v>0</v>
      </c>
      <c r="H684" s="112">
        <f>H685</f>
        <v>17150</v>
      </c>
      <c r="I684" s="112">
        <f t="shared" si="333"/>
        <v>12853.00036</v>
      </c>
      <c r="J684" s="112">
        <f t="shared" si="333"/>
        <v>17150</v>
      </c>
      <c r="K684" s="112">
        <f t="shared" si="311"/>
        <v>100</v>
      </c>
    </row>
    <row r="685" spans="1:11" ht="24">
      <c r="A685" s="110" t="s">
        <v>401</v>
      </c>
      <c r="B685" s="111" t="s">
        <v>515</v>
      </c>
      <c r="C685" s="111" t="s">
        <v>76</v>
      </c>
      <c r="D685" s="111" t="s">
        <v>499</v>
      </c>
      <c r="E685" s="111"/>
      <c r="F685" s="112">
        <f>F686</f>
        <v>17150</v>
      </c>
      <c r="G685" s="154">
        <f t="shared" si="330"/>
        <v>0</v>
      </c>
      <c r="H685" s="112">
        <f>H686</f>
        <v>17150</v>
      </c>
      <c r="I685" s="112">
        <f t="shared" si="333"/>
        <v>12853.00036</v>
      </c>
      <c r="J685" s="112">
        <f t="shared" si="333"/>
        <v>17150</v>
      </c>
      <c r="K685" s="112">
        <f t="shared" si="311"/>
        <v>100</v>
      </c>
    </row>
    <row r="686" spans="1:11">
      <c r="A686" s="119" t="s">
        <v>95</v>
      </c>
      <c r="B686" s="120" t="s">
        <v>515</v>
      </c>
      <c r="C686" s="120" t="s">
        <v>76</v>
      </c>
      <c r="D686" s="120" t="s">
        <v>499</v>
      </c>
      <c r="E686" s="120" t="s">
        <v>94</v>
      </c>
      <c r="F686" s="121">
        <f>F687</f>
        <v>17150</v>
      </c>
      <c r="G686" s="154">
        <f t="shared" si="330"/>
        <v>0</v>
      </c>
      <c r="H686" s="121">
        <f>H687</f>
        <v>17150</v>
      </c>
      <c r="I686" s="121">
        <f t="shared" si="333"/>
        <v>12853.00036</v>
      </c>
      <c r="J686" s="121">
        <f t="shared" si="333"/>
        <v>17150</v>
      </c>
      <c r="K686" s="121">
        <f t="shared" si="311"/>
        <v>100</v>
      </c>
    </row>
    <row r="687" spans="1:11">
      <c r="A687" s="119" t="s">
        <v>157</v>
      </c>
      <c r="B687" s="120" t="s">
        <v>515</v>
      </c>
      <c r="C687" s="120" t="s">
        <v>76</v>
      </c>
      <c r="D687" s="120" t="s">
        <v>499</v>
      </c>
      <c r="E687" s="120" t="s">
        <v>518</v>
      </c>
      <c r="F687" s="121">
        <v>17150</v>
      </c>
      <c r="G687" s="154">
        <f t="shared" si="330"/>
        <v>0</v>
      </c>
      <c r="H687" s="121">
        <v>17150</v>
      </c>
      <c r="I687" s="121">
        <v>12853.00036</v>
      </c>
      <c r="J687" s="121">
        <v>17150</v>
      </c>
      <c r="K687" s="121">
        <f t="shared" si="311"/>
        <v>100</v>
      </c>
    </row>
    <row r="688" spans="1:11">
      <c r="A688" s="110" t="s">
        <v>394</v>
      </c>
      <c r="B688" s="111" t="s">
        <v>515</v>
      </c>
      <c r="C688" s="111" t="s">
        <v>483</v>
      </c>
      <c r="D688" s="111"/>
      <c r="E688" s="111"/>
      <c r="F688" s="112" t="e">
        <f>F689+F693+F701</f>
        <v>#REF!</v>
      </c>
      <c r="G688" s="154" t="e">
        <f t="shared" si="330"/>
        <v>#REF!</v>
      </c>
      <c r="H688" s="112">
        <f>H689+H693+H701</f>
        <v>59331.396999999997</v>
      </c>
      <c r="I688" s="112">
        <f t="shared" ref="I688:J688" si="334">I689+I693+I701</f>
        <v>31899.049450000002</v>
      </c>
      <c r="J688" s="112">
        <f t="shared" si="334"/>
        <v>56336.279450000002</v>
      </c>
      <c r="K688" s="112">
        <f t="shared" si="311"/>
        <v>94.951884328629589</v>
      </c>
    </row>
    <row r="689" spans="1:11" ht="40.5">
      <c r="A689" s="123" t="s">
        <v>576</v>
      </c>
      <c r="B689" s="114" t="s">
        <v>515</v>
      </c>
      <c r="C689" s="114" t="s">
        <v>483</v>
      </c>
      <c r="D689" s="149" t="s">
        <v>255</v>
      </c>
      <c r="E689" s="114"/>
      <c r="F689" s="115">
        <f>F690</f>
        <v>1500</v>
      </c>
      <c r="G689" s="154">
        <f t="shared" si="330"/>
        <v>0</v>
      </c>
      <c r="H689" s="115">
        <f>H690</f>
        <v>1500</v>
      </c>
      <c r="I689" s="115">
        <f t="shared" ref="I689:J691" si="335">I690</f>
        <v>590</v>
      </c>
      <c r="J689" s="115">
        <f t="shared" si="335"/>
        <v>1500</v>
      </c>
      <c r="K689" s="126">
        <f t="shared" si="311"/>
        <v>100</v>
      </c>
    </row>
    <row r="690" spans="1:11" ht="24">
      <c r="A690" s="141" t="s">
        <v>49</v>
      </c>
      <c r="B690" s="111" t="s">
        <v>515</v>
      </c>
      <c r="C690" s="111" t="s">
        <v>483</v>
      </c>
      <c r="D690" s="142" t="s">
        <v>577</v>
      </c>
      <c r="E690" s="111"/>
      <c r="F690" s="112">
        <f>F691</f>
        <v>1500</v>
      </c>
      <c r="G690" s="154">
        <f t="shared" si="330"/>
        <v>0</v>
      </c>
      <c r="H690" s="112">
        <f>H691</f>
        <v>1500</v>
      </c>
      <c r="I690" s="112">
        <f t="shared" si="335"/>
        <v>590</v>
      </c>
      <c r="J690" s="112">
        <f t="shared" si="335"/>
        <v>1500</v>
      </c>
      <c r="K690" s="112">
        <f t="shared" si="311"/>
        <v>100</v>
      </c>
    </row>
    <row r="691" spans="1:11">
      <c r="A691" s="119" t="s">
        <v>95</v>
      </c>
      <c r="B691" s="120" t="s">
        <v>515</v>
      </c>
      <c r="C691" s="120" t="s">
        <v>483</v>
      </c>
      <c r="D691" s="130" t="s">
        <v>577</v>
      </c>
      <c r="E691" s="120" t="s">
        <v>94</v>
      </c>
      <c r="F691" s="121">
        <f>F692</f>
        <v>1500</v>
      </c>
      <c r="G691" s="154">
        <f t="shared" si="330"/>
        <v>0</v>
      </c>
      <c r="H691" s="121">
        <f>H692</f>
        <v>1500</v>
      </c>
      <c r="I691" s="121">
        <f t="shared" si="335"/>
        <v>590</v>
      </c>
      <c r="J691" s="121">
        <f t="shared" si="335"/>
        <v>1500</v>
      </c>
      <c r="K691" s="121">
        <f t="shared" si="311"/>
        <v>100</v>
      </c>
    </row>
    <row r="692" spans="1:11">
      <c r="A692" s="119" t="s">
        <v>157</v>
      </c>
      <c r="B692" s="120" t="s">
        <v>515</v>
      </c>
      <c r="C692" s="120" t="s">
        <v>483</v>
      </c>
      <c r="D692" s="130" t="s">
        <v>577</v>
      </c>
      <c r="E692" s="120" t="s">
        <v>518</v>
      </c>
      <c r="F692" s="121">
        <v>1500</v>
      </c>
      <c r="G692" s="154">
        <f t="shared" si="330"/>
        <v>0</v>
      </c>
      <c r="H692" s="121">
        <v>1500</v>
      </c>
      <c r="I692" s="121">
        <v>590</v>
      </c>
      <c r="J692" s="121">
        <v>1500</v>
      </c>
      <c r="K692" s="121">
        <f t="shared" si="311"/>
        <v>100</v>
      </c>
    </row>
    <row r="693" spans="1:11" ht="27">
      <c r="A693" s="123" t="s">
        <v>691</v>
      </c>
      <c r="B693" s="114" t="s">
        <v>515</v>
      </c>
      <c r="C693" s="114" t="s">
        <v>483</v>
      </c>
      <c r="D693" s="114" t="s">
        <v>162</v>
      </c>
      <c r="E693" s="114"/>
      <c r="F693" s="115" t="e">
        <f>F694</f>
        <v>#REF!</v>
      </c>
      <c r="G693" s="154" t="e">
        <f t="shared" si="330"/>
        <v>#REF!</v>
      </c>
      <c r="H693" s="115">
        <f>H694</f>
        <v>4167.2299999999987</v>
      </c>
      <c r="I693" s="115">
        <f t="shared" ref="I693:J693" si="336">I694</f>
        <v>640</v>
      </c>
      <c r="J693" s="115">
        <f t="shared" si="336"/>
        <v>4167.2299999999987</v>
      </c>
      <c r="K693" s="126">
        <f t="shared" si="311"/>
        <v>100</v>
      </c>
    </row>
    <row r="694" spans="1:11">
      <c r="A694" s="110" t="s">
        <v>289</v>
      </c>
      <c r="B694" s="111" t="s">
        <v>515</v>
      </c>
      <c r="C694" s="111" t="s">
        <v>483</v>
      </c>
      <c r="D694" s="111" t="s">
        <v>171</v>
      </c>
      <c r="E694" s="111"/>
      <c r="F694" s="112" t="e">
        <f>F695+F698</f>
        <v>#REF!</v>
      </c>
      <c r="G694" s="154" t="e">
        <f t="shared" si="330"/>
        <v>#REF!</v>
      </c>
      <c r="H694" s="112">
        <f>H695+H698</f>
        <v>4167.2299999999987</v>
      </c>
      <c r="I694" s="112">
        <f t="shared" ref="I694:J694" si="337">I695+I698</f>
        <v>640</v>
      </c>
      <c r="J694" s="112">
        <f t="shared" si="337"/>
        <v>4167.2299999999987</v>
      </c>
      <c r="K694" s="112">
        <f t="shared" si="311"/>
        <v>100</v>
      </c>
    </row>
    <row r="695" spans="1:11" ht="36">
      <c r="A695" s="124" t="s">
        <v>143</v>
      </c>
      <c r="B695" s="125" t="s">
        <v>515</v>
      </c>
      <c r="C695" s="125" t="s">
        <v>483</v>
      </c>
      <c r="D695" s="125" t="s">
        <v>291</v>
      </c>
      <c r="E695" s="125"/>
      <c r="F695" s="126" t="e">
        <f>F696</f>
        <v>#REF!</v>
      </c>
      <c r="G695" s="154" t="e">
        <f t="shared" si="330"/>
        <v>#REF!</v>
      </c>
      <c r="H695" s="126">
        <f>H696</f>
        <v>3527.2299999999987</v>
      </c>
      <c r="I695" s="136">
        <f t="shared" ref="I695:J696" si="338">I696</f>
        <v>0</v>
      </c>
      <c r="J695" s="126">
        <f t="shared" si="338"/>
        <v>3527.2299999999987</v>
      </c>
      <c r="K695" s="126">
        <f t="shared" si="311"/>
        <v>100</v>
      </c>
    </row>
    <row r="696" spans="1:11" ht="24">
      <c r="A696" s="119" t="s">
        <v>104</v>
      </c>
      <c r="B696" s="120" t="s">
        <v>515</v>
      </c>
      <c r="C696" s="120" t="s">
        <v>483</v>
      </c>
      <c r="D696" s="120" t="s">
        <v>291</v>
      </c>
      <c r="E696" s="120" t="s">
        <v>408</v>
      </c>
      <c r="F696" s="121" t="e">
        <f>F697+#REF!</f>
        <v>#REF!</v>
      </c>
      <c r="G696" s="154" t="e">
        <f t="shared" si="330"/>
        <v>#REF!</v>
      </c>
      <c r="H696" s="121">
        <f>H697</f>
        <v>3527.2299999999987</v>
      </c>
      <c r="I696" s="135">
        <f t="shared" si="338"/>
        <v>0</v>
      </c>
      <c r="J696" s="121">
        <f t="shared" si="338"/>
        <v>3527.2299999999987</v>
      </c>
      <c r="K696" s="121">
        <f t="shared" si="311"/>
        <v>100</v>
      </c>
    </row>
    <row r="697" spans="1:11">
      <c r="A697" s="119" t="s">
        <v>105</v>
      </c>
      <c r="B697" s="120" t="s">
        <v>515</v>
      </c>
      <c r="C697" s="120" t="s">
        <v>483</v>
      </c>
      <c r="D697" s="120" t="s">
        <v>291</v>
      </c>
      <c r="E697" s="120" t="s">
        <v>425</v>
      </c>
      <c r="F697" s="121">
        <v>9203.7999999999993</v>
      </c>
      <c r="G697" s="154">
        <f t="shared" si="330"/>
        <v>-5676.5700000000006</v>
      </c>
      <c r="H697" s="121">
        <f>9203.8-0.02-6060.85+252+132.3</f>
        <v>3527.2299999999987</v>
      </c>
      <c r="I697" s="135">
        <v>0</v>
      </c>
      <c r="J697" s="121">
        <f>9203.8-0.02-6060.85+252+132.3</f>
        <v>3527.2299999999987</v>
      </c>
      <c r="K697" s="121">
        <f t="shared" ref="K697:K760" si="339">J697/H697*100</f>
        <v>100</v>
      </c>
    </row>
    <row r="698" spans="1:11" ht="24">
      <c r="A698" s="159" t="s">
        <v>178</v>
      </c>
      <c r="B698" s="139" t="s">
        <v>515</v>
      </c>
      <c r="C698" s="139" t="s">
        <v>483</v>
      </c>
      <c r="D698" s="139" t="s">
        <v>690</v>
      </c>
      <c r="E698" s="139"/>
      <c r="F698" s="144">
        <f>F699</f>
        <v>640</v>
      </c>
      <c r="G698" s="154">
        <f t="shared" si="330"/>
        <v>0</v>
      </c>
      <c r="H698" s="144">
        <f>H699</f>
        <v>640</v>
      </c>
      <c r="I698" s="144">
        <f t="shared" ref="I698:J699" si="340">I699</f>
        <v>640</v>
      </c>
      <c r="J698" s="144">
        <f t="shared" si="340"/>
        <v>640</v>
      </c>
      <c r="K698" s="144">
        <f t="shared" si="339"/>
        <v>100</v>
      </c>
    </row>
    <row r="699" spans="1:11">
      <c r="A699" s="119" t="s">
        <v>95</v>
      </c>
      <c r="B699" s="120" t="s">
        <v>515</v>
      </c>
      <c r="C699" s="120" t="s">
        <v>483</v>
      </c>
      <c r="D699" s="120" t="s">
        <v>690</v>
      </c>
      <c r="E699" s="120" t="s">
        <v>94</v>
      </c>
      <c r="F699" s="121">
        <f>F700</f>
        <v>640</v>
      </c>
      <c r="G699" s="154">
        <f t="shared" si="330"/>
        <v>0</v>
      </c>
      <c r="H699" s="121">
        <f>H700</f>
        <v>640</v>
      </c>
      <c r="I699" s="121">
        <f t="shared" si="340"/>
        <v>640</v>
      </c>
      <c r="J699" s="121">
        <f t="shared" si="340"/>
        <v>640</v>
      </c>
      <c r="K699" s="121">
        <f t="shared" si="339"/>
        <v>100</v>
      </c>
    </row>
    <row r="700" spans="1:11">
      <c r="A700" s="119" t="s">
        <v>96</v>
      </c>
      <c r="B700" s="120" t="s">
        <v>515</v>
      </c>
      <c r="C700" s="120" t="s">
        <v>483</v>
      </c>
      <c r="D700" s="120" t="s">
        <v>690</v>
      </c>
      <c r="E700" s="120" t="s">
        <v>97</v>
      </c>
      <c r="F700" s="121">
        <v>640</v>
      </c>
      <c r="G700" s="154">
        <f t="shared" si="330"/>
        <v>0</v>
      </c>
      <c r="H700" s="121">
        <v>640</v>
      </c>
      <c r="I700" s="121">
        <v>640</v>
      </c>
      <c r="J700" s="121">
        <v>640</v>
      </c>
      <c r="K700" s="121">
        <f t="shared" si="339"/>
        <v>100</v>
      </c>
    </row>
    <row r="701" spans="1:11">
      <c r="A701" s="124" t="s">
        <v>455</v>
      </c>
      <c r="B701" s="125" t="s">
        <v>515</v>
      </c>
      <c r="C701" s="125" t="s">
        <v>483</v>
      </c>
      <c r="D701" s="125" t="s">
        <v>214</v>
      </c>
      <c r="E701" s="111"/>
      <c r="F701" s="126">
        <f>F702</f>
        <v>23000</v>
      </c>
      <c r="G701" s="154">
        <f t="shared" si="330"/>
        <v>30664.167000000001</v>
      </c>
      <c r="H701" s="126">
        <f>H702</f>
        <v>53664.167000000001</v>
      </c>
      <c r="I701" s="126">
        <f t="shared" ref="I701:J701" si="341">I702</f>
        <v>30669.049450000002</v>
      </c>
      <c r="J701" s="126">
        <f t="shared" si="341"/>
        <v>50669.049450000006</v>
      </c>
      <c r="K701" s="112">
        <f t="shared" si="339"/>
        <v>94.418775660861371</v>
      </c>
    </row>
    <row r="702" spans="1:11">
      <c r="A702" s="110" t="s">
        <v>304</v>
      </c>
      <c r="B702" s="111" t="s">
        <v>515</v>
      </c>
      <c r="C702" s="111" t="s">
        <v>483</v>
      </c>
      <c r="D702" s="111" t="s">
        <v>215</v>
      </c>
      <c r="E702" s="111"/>
      <c r="F702" s="112">
        <f>F706+F709</f>
        <v>23000</v>
      </c>
      <c r="G702" s="154">
        <f t="shared" si="330"/>
        <v>30664.167000000001</v>
      </c>
      <c r="H702" s="112">
        <f>H706+H709+H703</f>
        <v>53664.167000000001</v>
      </c>
      <c r="I702" s="112">
        <f t="shared" ref="I702:J702" si="342">I706+I709+I703</f>
        <v>30669.049450000002</v>
      </c>
      <c r="J702" s="112">
        <f t="shared" si="342"/>
        <v>50669.049450000006</v>
      </c>
      <c r="K702" s="112">
        <f t="shared" si="339"/>
        <v>94.418775660861371</v>
      </c>
    </row>
    <row r="703" spans="1:11" ht="24">
      <c r="A703" s="110" t="s">
        <v>712</v>
      </c>
      <c r="B703" s="111" t="s">
        <v>515</v>
      </c>
      <c r="C703" s="111" t="s">
        <v>483</v>
      </c>
      <c r="D703" s="156" t="s">
        <v>713</v>
      </c>
      <c r="E703" s="111"/>
      <c r="F703" s="112">
        <v>30664.167000000001</v>
      </c>
      <c r="G703" s="154"/>
      <c r="H703" s="112">
        <f>H704</f>
        <v>30664.167000000001</v>
      </c>
      <c r="I703" s="112">
        <f t="shared" ref="I703:J704" si="343">I704</f>
        <v>30664.167000000001</v>
      </c>
      <c r="J703" s="112">
        <f t="shared" si="343"/>
        <v>30664.167000000001</v>
      </c>
      <c r="K703" s="112">
        <f t="shared" si="339"/>
        <v>100</v>
      </c>
    </row>
    <row r="704" spans="1:11">
      <c r="A704" s="119" t="s">
        <v>95</v>
      </c>
      <c r="B704" s="120" t="s">
        <v>515</v>
      </c>
      <c r="C704" s="120" t="s">
        <v>483</v>
      </c>
      <c r="D704" s="157" t="s">
        <v>713</v>
      </c>
      <c r="E704" s="120" t="s">
        <v>94</v>
      </c>
      <c r="F704" s="121">
        <v>30664.167000000001</v>
      </c>
      <c r="G704" s="154"/>
      <c r="H704" s="121">
        <f>H705</f>
        <v>30664.167000000001</v>
      </c>
      <c r="I704" s="121">
        <f t="shared" si="343"/>
        <v>30664.167000000001</v>
      </c>
      <c r="J704" s="121">
        <f t="shared" si="343"/>
        <v>30664.167000000001</v>
      </c>
      <c r="K704" s="121">
        <f t="shared" si="339"/>
        <v>100</v>
      </c>
    </row>
    <row r="705" spans="1:11">
      <c r="A705" s="119" t="s">
        <v>96</v>
      </c>
      <c r="B705" s="120" t="s">
        <v>515</v>
      </c>
      <c r="C705" s="120" t="s">
        <v>483</v>
      </c>
      <c r="D705" s="157" t="s">
        <v>713</v>
      </c>
      <c r="E705" s="120" t="s">
        <v>97</v>
      </c>
      <c r="F705" s="121">
        <v>30664.167000000001</v>
      </c>
      <c r="G705" s="154"/>
      <c r="H705" s="121">
        <v>30664.167000000001</v>
      </c>
      <c r="I705" s="121">
        <v>30664.167000000001</v>
      </c>
      <c r="J705" s="121">
        <v>30664.167000000001</v>
      </c>
      <c r="K705" s="121">
        <f t="shared" si="339"/>
        <v>100</v>
      </c>
    </row>
    <row r="706" spans="1:11">
      <c r="A706" s="110" t="s">
        <v>459</v>
      </c>
      <c r="B706" s="111" t="s">
        <v>515</v>
      </c>
      <c r="C706" s="111" t="s">
        <v>483</v>
      </c>
      <c r="D706" s="156" t="s">
        <v>496</v>
      </c>
      <c r="E706" s="111"/>
      <c r="F706" s="112">
        <f>F707</f>
        <v>3000</v>
      </c>
      <c r="G706" s="154">
        <f t="shared" si="330"/>
        <v>0</v>
      </c>
      <c r="H706" s="112">
        <f>H707</f>
        <v>3000</v>
      </c>
      <c r="I706" s="112">
        <f t="shared" ref="I706:J707" si="344">I707</f>
        <v>4.8824500000000004</v>
      </c>
      <c r="J706" s="112">
        <f t="shared" si="344"/>
        <v>4.8824500000000004</v>
      </c>
      <c r="K706" s="112">
        <f t="shared" si="339"/>
        <v>0.16274833333333336</v>
      </c>
    </row>
    <row r="707" spans="1:11">
      <c r="A707" s="119" t="s">
        <v>95</v>
      </c>
      <c r="B707" s="120" t="s">
        <v>515</v>
      </c>
      <c r="C707" s="120" t="s">
        <v>483</v>
      </c>
      <c r="D707" s="157" t="s">
        <v>496</v>
      </c>
      <c r="E707" s="120" t="s">
        <v>94</v>
      </c>
      <c r="F707" s="121">
        <f>F708</f>
        <v>3000</v>
      </c>
      <c r="G707" s="154">
        <f t="shared" si="330"/>
        <v>0</v>
      </c>
      <c r="H707" s="121">
        <f>H708</f>
        <v>3000</v>
      </c>
      <c r="I707" s="121">
        <f t="shared" si="344"/>
        <v>4.8824500000000004</v>
      </c>
      <c r="J707" s="121">
        <f t="shared" si="344"/>
        <v>4.8824500000000004</v>
      </c>
      <c r="K707" s="121">
        <f t="shared" si="339"/>
        <v>0.16274833333333336</v>
      </c>
    </row>
    <row r="708" spans="1:11">
      <c r="A708" s="119" t="s">
        <v>96</v>
      </c>
      <c r="B708" s="120" t="s">
        <v>515</v>
      </c>
      <c r="C708" s="120" t="s">
        <v>483</v>
      </c>
      <c r="D708" s="157" t="s">
        <v>496</v>
      </c>
      <c r="E708" s="120" t="s">
        <v>97</v>
      </c>
      <c r="F708" s="121">
        <v>3000</v>
      </c>
      <c r="G708" s="154">
        <f t="shared" si="330"/>
        <v>0</v>
      </c>
      <c r="H708" s="121">
        <v>3000</v>
      </c>
      <c r="I708" s="121">
        <v>4.8824500000000004</v>
      </c>
      <c r="J708" s="121">
        <v>4.8824500000000004</v>
      </c>
      <c r="K708" s="121">
        <f t="shared" si="339"/>
        <v>0.16274833333333336</v>
      </c>
    </row>
    <row r="709" spans="1:11" ht="24">
      <c r="A709" s="110" t="s">
        <v>575</v>
      </c>
      <c r="B709" s="111" t="s">
        <v>515</v>
      </c>
      <c r="C709" s="111" t="s">
        <v>483</v>
      </c>
      <c r="D709" s="111" t="s">
        <v>500</v>
      </c>
      <c r="E709" s="111"/>
      <c r="F709" s="112">
        <f>F710</f>
        <v>20000</v>
      </c>
      <c r="G709" s="154">
        <f t="shared" si="330"/>
        <v>0</v>
      </c>
      <c r="H709" s="112">
        <f>H710</f>
        <v>20000</v>
      </c>
      <c r="I709" s="134">
        <f t="shared" ref="I709:J710" si="345">I710</f>
        <v>0</v>
      </c>
      <c r="J709" s="112">
        <f t="shared" si="345"/>
        <v>20000</v>
      </c>
      <c r="K709" s="112">
        <f t="shared" si="339"/>
        <v>100</v>
      </c>
    </row>
    <row r="710" spans="1:11">
      <c r="A710" s="119" t="s">
        <v>95</v>
      </c>
      <c r="B710" s="120" t="s">
        <v>515</v>
      </c>
      <c r="C710" s="120" t="s">
        <v>483</v>
      </c>
      <c r="D710" s="120" t="s">
        <v>500</v>
      </c>
      <c r="E710" s="120" t="s">
        <v>94</v>
      </c>
      <c r="F710" s="121">
        <f>F711</f>
        <v>20000</v>
      </c>
      <c r="G710" s="154">
        <f t="shared" si="330"/>
        <v>0</v>
      </c>
      <c r="H710" s="121">
        <f>H711</f>
        <v>20000</v>
      </c>
      <c r="I710" s="135">
        <f t="shared" si="345"/>
        <v>0</v>
      </c>
      <c r="J710" s="121">
        <f t="shared" si="345"/>
        <v>20000</v>
      </c>
      <c r="K710" s="121">
        <f t="shared" si="339"/>
        <v>100</v>
      </c>
    </row>
    <row r="711" spans="1:11">
      <c r="A711" s="119" t="s">
        <v>96</v>
      </c>
      <c r="B711" s="120" t="s">
        <v>515</v>
      </c>
      <c r="C711" s="120" t="s">
        <v>483</v>
      </c>
      <c r="D711" s="120" t="s">
        <v>500</v>
      </c>
      <c r="E711" s="120" t="s">
        <v>97</v>
      </c>
      <c r="F711" s="121">
        <v>20000</v>
      </c>
      <c r="G711" s="154">
        <f t="shared" si="330"/>
        <v>0</v>
      </c>
      <c r="H711" s="121">
        <v>20000</v>
      </c>
      <c r="I711" s="135">
        <v>0</v>
      </c>
      <c r="J711" s="121">
        <v>20000</v>
      </c>
      <c r="K711" s="121">
        <f t="shared" si="339"/>
        <v>100</v>
      </c>
    </row>
    <row r="712" spans="1:11">
      <c r="A712" s="110" t="s">
        <v>395</v>
      </c>
      <c r="B712" s="111" t="s">
        <v>515</v>
      </c>
      <c r="C712" s="111" t="s">
        <v>78</v>
      </c>
      <c r="D712" s="111"/>
      <c r="E712" s="111"/>
      <c r="F712" s="112">
        <f>F713</f>
        <v>19000</v>
      </c>
      <c r="G712" s="154">
        <f t="shared" si="330"/>
        <v>0</v>
      </c>
      <c r="H712" s="112">
        <f>H713</f>
        <v>19000</v>
      </c>
      <c r="I712" s="112">
        <f t="shared" ref="I712:J716" si="346">I713</f>
        <v>9653.9442099999997</v>
      </c>
      <c r="J712" s="112">
        <f t="shared" si="346"/>
        <v>16648.61</v>
      </c>
      <c r="K712" s="112">
        <f t="shared" si="339"/>
        <v>87.624263157894745</v>
      </c>
    </row>
    <row r="713" spans="1:11" ht="27">
      <c r="A713" s="123" t="s">
        <v>691</v>
      </c>
      <c r="B713" s="114" t="s">
        <v>515</v>
      </c>
      <c r="C713" s="114" t="s">
        <v>78</v>
      </c>
      <c r="D713" s="114" t="s">
        <v>162</v>
      </c>
      <c r="E713" s="125"/>
      <c r="F713" s="115">
        <f>F714</f>
        <v>19000</v>
      </c>
      <c r="G713" s="154">
        <f t="shared" si="330"/>
        <v>0</v>
      </c>
      <c r="H713" s="115">
        <f>H714</f>
        <v>19000</v>
      </c>
      <c r="I713" s="115">
        <f t="shared" si="346"/>
        <v>9653.9442099999997</v>
      </c>
      <c r="J713" s="115">
        <f t="shared" si="346"/>
        <v>16648.61</v>
      </c>
      <c r="K713" s="126">
        <f t="shared" si="339"/>
        <v>87.624263157894745</v>
      </c>
    </row>
    <row r="714" spans="1:11">
      <c r="A714" s="110" t="s">
        <v>289</v>
      </c>
      <c r="B714" s="111" t="s">
        <v>515</v>
      </c>
      <c r="C714" s="111" t="s">
        <v>78</v>
      </c>
      <c r="D714" s="111" t="s">
        <v>171</v>
      </c>
      <c r="E714" s="111"/>
      <c r="F714" s="112">
        <f>F715</f>
        <v>19000</v>
      </c>
      <c r="G714" s="154">
        <f t="shared" si="330"/>
        <v>0</v>
      </c>
      <c r="H714" s="112">
        <f>H715</f>
        <v>19000</v>
      </c>
      <c r="I714" s="112">
        <f t="shared" si="346"/>
        <v>9653.9442099999997</v>
      </c>
      <c r="J714" s="112">
        <f t="shared" si="346"/>
        <v>16648.61</v>
      </c>
      <c r="K714" s="112">
        <f t="shared" si="339"/>
        <v>87.624263157894745</v>
      </c>
    </row>
    <row r="715" spans="1:11" ht="48">
      <c r="A715" s="174" t="s">
        <v>512</v>
      </c>
      <c r="B715" s="139" t="s">
        <v>515</v>
      </c>
      <c r="C715" s="139" t="s">
        <v>78</v>
      </c>
      <c r="D715" s="139" t="s">
        <v>290</v>
      </c>
      <c r="E715" s="139"/>
      <c r="F715" s="144">
        <f>F716</f>
        <v>19000</v>
      </c>
      <c r="G715" s="154">
        <f t="shared" si="330"/>
        <v>0</v>
      </c>
      <c r="H715" s="144">
        <f>H716</f>
        <v>19000</v>
      </c>
      <c r="I715" s="144">
        <f t="shared" si="346"/>
        <v>9653.9442099999997</v>
      </c>
      <c r="J715" s="144">
        <f t="shared" si="346"/>
        <v>16648.61</v>
      </c>
      <c r="K715" s="121">
        <f t="shared" si="339"/>
        <v>87.624263157894745</v>
      </c>
    </row>
    <row r="716" spans="1:11">
      <c r="A716" s="119" t="s">
        <v>95</v>
      </c>
      <c r="B716" s="120" t="s">
        <v>515</v>
      </c>
      <c r="C716" s="120" t="s">
        <v>78</v>
      </c>
      <c r="D716" s="120" t="s">
        <v>290</v>
      </c>
      <c r="E716" s="120" t="s">
        <v>94</v>
      </c>
      <c r="F716" s="121">
        <f>F717</f>
        <v>19000</v>
      </c>
      <c r="G716" s="154">
        <f t="shared" si="330"/>
        <v>0</v>
      </c>
      <c r="H716" s="121">
        <f>H717</f>
        <v>19000</v>
      </c>
      <c r="I716" s="121">
        <f t="shared" si="346"/>
        <v>9653.9442099999997</v>
      </c>
      <c r="J716" s="121">
        <f t="shared" si="346"/>
        <v>16648.61</v>
      </c>
      <c r="K716" s="121">
        <f t="shared" si="339"/>
        <v>87.624263157894745</v>
      </c>
    </row>
    <row r="717" spans="1:11">
      <c r="A717" s="119" t="s">
        <v>157</v>
      </c>
      <c r="B717" s="120" t="s">
        <v>515</v>
      </c>
      <c r="C717" s="120" t="s">
        <v>78</v>
      </c>
      <c r="D717" s="120" t="s">
        <v>290</v>
      </c>
      <c r="E717" s="120" t="s">
        <v>518</v>
      </c>
      <c r="F717" s="121">
        <v>19000</v>
      </c>
      <c r="G717" s="154">
        <f t="shared" si="330"/>
        <v>0</v>
      </c>
      <c r="H717" s="121">
        <v>19000</v>
      </c>
      <c r="I717" s="121">
        <v>9653.9442099999997</v>
      </c>
      <c r="J717" s="121">
        <v>16648.61</v>
      </c>
      <c r="K717" s="121">
        <f t="shared" si="339"/>
        <v>87.624263157894745</v>
      </c>
    </row>
    <row r="718" spans="1:11" ht="15.75">
      <c r="A718" s="110" t="s">
        <v>398</v>
      </c>
      <c r="B718" s="111" t="s">
        <v>90</v>
      </c>
      <c r="C718" s="111" t="s">
        <v>77</v>
      </c>
      <c r="D718" s="116"/>
      <c r="E718" s="116"/>
      <c r="F718" s="112">
        <f>F719+F730</f>
        <v>7855</v>
      </c>
      <c r="G718" s="154">
        <f t="shared" si="330"/>
        <v>30341.300000000003</v>
      </c>
      <c r="H718" s="112">
        <f>H719+H730</f>
        <v>38196.300000000003</v>
      </c>
      <c r="I718" s="112">
        <f t="shared" ref="I718:J718" si="347">I719+I730</f>
        <v>23631.11421</v>
      </c>
      <c r="J718" s="112">
        <f t="shared" si="347"/>
        <v>33220.235000000001</v>
      </c>
      <c r="K718" s="112">
        <f t="shared" si="339"/>
        <v>86.972389995889657</v>
      </c>
    </row>
    <row r="719" spans="1:11" ht="15.75">
      <c r="A719" s="110" t="s">
        <v>63</v>
      </c>
      <c r="B719" s="111" t="s">
        <v>90</v>
      </c>
      <c r="C719" s="111" t="s">
        <v>76</v>
      </c>
      <c r="D719" s="116"/>
      <c r="E719" s="116"/>
      <c r="F719" s="112">
        <f>F720</f>
        <v>4000</v>
      </c>
      <c r="G719" s="154">
        <f t="shared" si="330"/>
        <v>30341.300000000003</v>
      </c>
      <c r="H719" s="112">
        <f>H720</f>
        <v>34341.300000000003</v>
      </c>
      <c r="I719" s="112">
        <f t="shared" ref="I719:J719" si="348">I720</f>
        <v>20355.03584</v>
      </c>
      <c r="J719" s="112">
        <f t="shared" si="348"/>
        <v>29365.235000000001</v>
      </c>
      <c r="K719" s="112">
        <f t="shared" si="339"/>
        <v>85.509969046017474</v>
      </c>
    </row>
    <row r="720" spans="1:11" ht="27">
      <c r="A720" s="123" t="s">
        <v>581</v>
      </c>
      <c r="B720" s="114" t="s">
        <v>90</v>
      </c>
      <c r="C720" s="114" t="s">
        <v>76</v>
      </c>
      <c r="D720" s="114" t="s">
        <v>52</v>
      </c>
      <c r="E720" s="114"/>
      <c r="F720" s="115">
        <f>F721</f>
        <v>4000</v>
      </c>
      <c r="G720" s="154">
        <f t="shared" si="330"/>
        <v>30341.300000000003</v>
      </c>
      <c r="H720" s="115">
        <f>H721+H725</f>
        <v>34341.300000000003</v>
      </c>
      <c r="I720" s="115">
        <f t="shared" ref="I720:J720" si="349">I721+I725</f>
        <v>20355.03584</v>
      </c>
      <c r="J720" s="115">
        <f t="shared" si="349"/>
        <v>29365.235000000001</v>
      </c>
      <c r="K720" s="115">
        <f t="shared" si="339"/>
        <v>85.509969046017474</v>
      </c>
    </row>
    <row r="721" spans="1:11" ht="24">
      <c r="A721" s="110" t="s">
        <v>583</v>
      </c>
      <c r="B721" s="111" t="s">
        <v>90</v>
      </c>
      <c r="C721" s="111" t="s">
        <v>76</v>
      </c>
      <c r="D721" s="111" t="s">
        <v>66</v>
      </c>
      <c r="E721" s="116"/>
      <c r="F721" s="112">
        <f>F722</f>
        <v>4000</v>
      </c>
      <c r="G721" s="154">
        <f t="shared" si="330"/>
        <v>0</v>
      </c>
      <c r="H721" s="112">
        <f>H722</f>
        <v>4000</v>
      </c>
      <c r="I721" s="112">
        <f t="shared" ref="I721:J723" si="350">I722</f>
        <v>1023.9349999999999</v>
      </c>
      <c r="J721" s="112">
        <f t="shared" si="350"/>
        <v>1023.9349999999999</v>
      </c>
      <c r="K721" s="112">
        <f t="shared" si="339"/>
        <v>25.598375000000001</v>
      </c>
    </row>
    <row r="722" spans="1:11" ht="24">
      <c r="A722" s="124" t="s">
        <v>354</v>
      </c>
      <c r="B722" s="125" t="s">
        <v>90</v>
      </c>
      <c r="C722" s="125" t="s">
        <v>76</v>
      </c>
      <c r="D722" s="125" t="s">
        <v>584</v>
      </c>
      <c r="E722" s="125"/>
      <c r="F722" s="126">
        <f>F723</f>
        <v>4000</v>
      </c>
      <c r="G722" s="154">
        <f t="shared" si="330"/>
        <v>0</v>
      </c>
      <c r="H722" s="126">
        <f>H723</f>
        <v>4000</v>
      </c>
      <c r="I722" s="126">
        <f t="shared" si="350"/>
        <v>1023.9349999999999</v>
      </c>
      <c r="J722" s="126">
        <f t="shared" si="350"/>
        <v>1023.9349999999999</v>
      </c>
      <c r="K722" s="126">
        <f t="shared" si="339"/>
        <v>25.598375000000001</v>
      </c>
    </row>
    <row r="723" spans="1:11">
      <c r="A723" s="119" t="s">
        <v>596</v>
      </c>
      <c r="B723" s="120" t="s">
        <v>90</v>
      </c>
      <c r="C723" s="120" t="s">
        <v>76</v>
      </c>
      <c r="D723" s="120" t="s">
        <v>584</v>
      </c>
      <c r="E723" s="120" t="s">
        <v>84</v>
      </c>
      <c r="F723" s="121">
        <f>F724</f>
        <v>4000</v>
      </c>
      <c r="G723" s="154">
        <f t="shared" si="330"/>
        <v>0</v>
      </c>
      <c r="H723" s="121">
        <f>H724</f>
        <v>4000</v>
      </c>
      <c r="I723" s="121">
        <f t="shared" si="350"/>
        <v>1023.9349999999999</v>
      </c>
      <c r="J723" s="121">
        <f t="shared" si="350"/>
        <v>1023.9349999999999</v>
      </c>
      <c r="K723" s="121">
        <f t="shared" si="339"/>
        <v>25.598375000000001</v>
      </c>
    </row>
    <row r="724" spans="1:11">
      <c r="A724" s="119" t="s">
        <v>85</v>
      </c>
      <c r="B724" s="120" t="s">
        <v>90</v>
      </c>
      <c r="C724" s="120" t="s">
        <v>76</v>
      </c>
      <c r="D724" s="120" t="s">
        <v>584</v>
      </c>
      <c r="E724" s="120" t="s">
        <v>86</v>
      </c>
      <c r="F724" s="121">
        <v>4000</v>
      </c>
      <c r="G724" s="154">
        <f t="shared" si="330"/>
        <v>0</v>
      </c>
      <c r="H724" s="121">
        <v>4000</v>
      </c>
      <c r="I724" s="121">
        <v>1023.9349999999999</v>
      </c>
      <c r="J724" s="121">
        <f>4000-2976.065</f>
        <v>1023.9349999999999</v>
      </c>
      <c r="K724" s="121">
        <f t="shared" si="339"/>
        <v>25.598375000000001</v>
      </c>
    </row>
    <row r="725" spans="1:11" ht="24">
      <c r="A725" s="141" t="s">
        <v>51</v>
      </c>
      <c r="B725" s="111" t="s">
        <v>90</v>
      </c>
      <c r="C725" s="111" t="s">
        <v>76</v>
      </c>
      <c r="D725" s="111" t="s">
        <v>53</v>
      </c>
      <c r="E725" s="111"/>
      <c r="F725" s="112">
        <f t="shared" ref="F725:J728" si="351">F726</f>
        <v>30341.3</v>
      </c>
      <c r="G725" s="154">
        <f t="shared" si="330"/>
        <v>0</v>
      </c>
      <c r="H725" s="134">
        <f t="shared" si="351"/>
        <v>30341.3</v>
      </c>
      <c r="I725" s="134">
        <f t="shared" si="351"/>
        <v>19331.100839999999</v>
      </c>
      <c r="J725" s="134">
        <f t="shared" si="351"/>
        <v>28341.3</v>
      </c>
      <c r="K725" s="112">
        <f t="shared" si="339"/>
        <v>93.408324626828772</v>
      </c>
    </row>
    <row r="726" spans="1:11" ht="13.5" customHeight="1">
      <c r="A726" s="141" t="s">
        <v>54</v>
      </c>
      <c r="B726" s="111" t="s">
        <v>90</v>
      </c>
      <c r="C726" s="111" t="s">
        <v>76</v>
      </c>
      <c r="D726" s="111" t="s">
        <v>585</v>
      </c>
      <c r="E726" s="111"/>
      <c r="F726" s="112">
        <f t="shared" si="351"/>
        <v>30341.3</v>
      </c>
      <c r="G726" s="154">
        <f t="shared" si="330"/>
        <v>0</v>
      </c>
      <c r="H726" s="134">
        <f t="shared" si="351"/>
        <v>30341.3</v>
      </c>
      <c r="I726" s="134">
        <f t="shared" si="351"/>
        <v>19331.100839999999</v>
      </c>
      <c r="J726" s="134">
        <f t="shared" si="351"/>
        <v>28341.3</v>
      </c>
      <c r="K726" s="112">
        <f t="shared" si="339"/>
        <v>93.408324626828772</v>
      </c>
    </row>
    <row r="727" spans="1:11" ht="24">
      <c r="A727" s="159" t="s">
        <v>309</v>
      </c>
      <c r="B727" s="139" t="s">
        <v>90</v>
      </c>
      <c r="C727" s="139" t="s">
        <v>76</v>
      </c>
      <c r="D727" s="139" t="s">
        <v>585</v>
      </c>
      <c r="E727" s="139"/>
      <c r="F727" s="144">
        <f t="shared" si="351"/>
        <v>30341.3</v>
      </c>
      <c r="G727" s="154">
        <f t="shared" si="330"/>
        <v>0</v>
      </c>
      <c r="H727" s="211">
        <f t="shared" si="351"/>
        <v>30341.3</v>
      </c>
      <c r="I727" s="211">
        <f t="shared" si="351"/>
        <v>19331.100839999999</v>
      </c>
      <c r="J727" s="211">
        <f t="shared" si="351"/>
        <v>28341.3</v>
      </c>
      <c r="K727" s="144">
        <f t="shared" si="339"/>
        <v>93.408324626828772</v>
      </c>
    </row>
    <row r="728" spans="1:11" ht="24">
      <c r="A728" s="119" t="s">
        <v>104</v>
      </c>
      <c r="B728" s="120" t="s">
        <v>90</v>
      </c>
      <c r="C728" s="120" t="s">
        <v>76</v>
      </c>
      <c r="D728" s="120" t="s">
        <v>585</v>
      </c>
      <c r="E728" s="120" t="s">
        <v>408</v>
      </c>
      <c r="F728" s="121">
        <f t="shared" si="351"/>
        <v>30341.3</v>
      </c>
      <c r="G728" s="154">
        <f t="shared" si="330"/>
        <v>0</v>
      </c>
      <c r="H728" s="135">
        <f t="shared" si="351"/>
        <v>30341.3</v>
      </c>
      <c r="I728" s="135">
        <f t="shared" si="351"/>
        <v>19331.100839999999</v>
      </c>
      <c r="J728" s="135">
        <f t="shared" si="351"/>
        <v>28341.3</v>
      </c>
      <c r="K728" s="121">
        <f t="shared" si="339"/>
        <v>93.408324626828772</v>
      </c>
    </row>
    <row r="729" spans="1:11">
      <c r="A729" s="119" t="s">
        <v>516</v>
      </c>
      <c r="B729" s="120" t="s">
        <v>90</v>
      </c>
      <c r="C729" s="120" t="s">
        <v>76</v>
      </c>
      <c r="D729" s="120" t="s">
        <v>585</v>
      </c>
      <c r="E729" s="120" t="s">
        <v>517</v>
      </c>
      <c r="F729" s="121">
        <f>25545.1+4796.2</f>
        <v>30341.3</v>
      </c>
      <c r="G729" s="154">
        <f t="shared" si="330"/>
        <v>0</v>
      </c>
      <c r="H729" s="135">
        <f>25545.1+4796.2</f>
        <v>30341.3</v>
      </c>
      <c r="I729" s="135">
        <v>19331.100839999999</v>
      </c>
      <c r="J729" s="135">
        <f>25545.1+4796.2-2000</f>
        <v>28341.3</v>
      </c>
      <c r="K729" s="121">
        <f t="shared" si="339"/>
        <v>93.408324626828772</v>
      </c>
    </row>
    <row r="730" spans="1:11">
      <c r="A730" s="110" t="s">
        <v>188</v>
      </c>
      <c r="B730" s="111" t="s">
        <v>90</v>
      </c>
      <c r="C730" s="111" t="s">
        <v>432</v>
      </c>
      <c r="D730" s="111"/>
      <c r="E730" s="111"/>
      <c r="F730" s="112">
        <f>F731</f>
        <v>3855</v>
      </c>
      <c r="G730" s="154">
        <f t="shared" si="330"/>
        <v>0</v>
      </c>
      <c r="H730" s="112">
        <f>H731</f>
        <v>3855</v>
      </c>
      <c r="I730" s="112">
        <f t="shared" ref="I730:J731" si="352">I731</f>
        <v>3276.0783700000002</v>
      </c>
      <c r="J730" s="112">
        <f t="shared" si="352"/>
        <v>3855</v>
      </c>
      <c r="K730" s="112">
        <f t="shared" si="339"/>
        <v>100</v>
      </c>
    </row>
    <row r="731" spans="1:11" ht="27">
      <c r="A731" s="123" t="s">
        <v>581</v>
      </c>
      <c r="B731" s="114" t="s">
        <v>90</v>
      </c>
      <c r="C731" s="114" t="s">
        <v>432</v>
      </c>
      <c r="D731" s="114" t="s">
        <v>52</v>
      </c>
      <c r="E731" s="111"/>
      <c r="F731" s="115">
        <f>F732</f>
        <v>3855</v>
      </c>
      <c r="G731" s="154">
        <f t="shared" si="330"/>
        <v>0</v>
      </c>
      <c r="H731" s="115">
        <f>H732</f>
        <v>3855</v>
      </c>
      <c r="I731" s="115">
        <f t="shared" si="352"/>
        <v>3276.0783700000002</v>
      </c>
      <c r="J731" s="115">
        <f t="shared" si="352"/>
        <v>3855</v>
      </c>
      <c r="K731" s="115">
        <f t="shared" si="339"/>
        <v>100</v>
      </c>
    </row>
    <row r="732" spans="1:11">
      <c r="A732" s="110" t="s">
        <v>67</v>
      </c>
      <c r="B732" s="111" t="s">
        <v>90</v>
      </c>
      <c r="C732" s="111" t="s">
        <v>432</v>
      </c>
      <c r="D732" s="111" t="s">
        <v>68</v>
      </c>
      <c r="E732" s="111"/>
      <c r="F732" s="112">
        <f>F733+F737</f>
        <v>3855</v>
      </c>
      <c r="G732" s="154">
        <f t="shared" si="330"/>
        <v>0</v>
      </c>
      <c r="H732" s="112">
        <f>H733+H737</f>
        <v>3855</v>
      </c>
      <c r="I732" s="112">
        <f t="shared" ref="I732:J732" si="353">I733+I737</f>
        <v>3276.0783700000002</v>
      </c>
      <c r="J732" s="112">
        <f t="shared" si="353"/>
        <v>3855</v>
      </c>
      <c r="K732" s="112">
        <f t="shared" si="339"/>
        <v>100</v>
      </c>
    </row>
    <row r="733" spans="1:11" ht="24">
      <c r="A733" s="110" t="s">
        <v>312</v>
      </c>
      <c r="B733" s="111" t="s">
        <v>90</v>
      </c>
      <c r="C733" s="111" t="s">
        <v>432</v>
      </c>
      <c r="D733" s="111" t="s">
        <v>69</v>
      </c>
      <c r="E733" s="111"/>
      <c r="F733" s="112">
        <f>F734</f>
        <v>3770</v>
      </c>
      <c r="G733" s="154">
        <f t="shared" si="330"/>
        <v>0</v>
      </c>
      <c r="H733" s="112">
        <f>H734</f>
        <v>3770</v>
      </c>
      <c r="I733" s="112">
        <f t="shared" ref="I733:J735" si="354">I734</f>
        <v>3218.4463700000001</v>
      </c>
      <c r="J733" s="112">
        <f t="shared" si="354"/>
        <v>3770</v>
      </c>
      <c r="K733" s="112">
        <f t="shared" si="339"/>
        <v>100</v>
      </c>
    </row>
    <row r="734" spans="1:11">
      <c r="A734" s="145" t="s">
        <v>303</v>
      </c>
      <c r="B734" s="125" t="s">
        <v>90</v>
      </c>
      <c r="C734" s="125" t="s">
        <v>432</v>
      </c>
      <c r="D734" s="125" t="s">
        <v>69</v>
      </c>
      <c r="E734" s="125"/>
      <c r="F734" s="126">
        <f>F735</f>
        <v>3770</v>
      </c>
      <c r="G734" s="154">
        <f t="shared" si="330"/>
        <v>0</v>
      </c>
      <c r="H734" s="126">
        <f>H735</f>
        <v>3770</v>
      </c>
      <c r="I734" s="126">
        <f t="shared" si="354"/>
        <v>3218.4463700000001</v>
      </c>
      <c r="J734" s="126">
        <f t="shared" si="354"/>
        <v>3770</v>
      </c>
      <c r="K734" s="126">
        <f t="shared" si="339"/>
        <v>100</v>
      </c>
    </row>
    <row r="735" spans="1:11" ht="36">
      <c r="A735" s="119" t="s">
        <v>79</v>
      </c>
      <c r="B735" s="120" t="s">
        <v>90</v>
      </c>
      <c r="C735" s="120" t="s">
        <v>432</v>
      </c>
      <c r="D735" s="120" t="s">
        <v>69</v>
      </c>
      <c r="E735" s="120" t="s">
        <v>80</v>
      </c>
      <c r="F735" s="121">
        <f>F736</f>
        <v>3770</v>
      </c>
      <c r="G735" s="154">
        <f t="shared" si="330"/>
        <v>0</v>
      </c>
      <c r="H735" s="121">
        <f>H736</f>
        <v>3770</v>
      </c>
      <c r="I735" s="121">
        <f t="shared" si="354"/>
        <v>3218.4463700000001</v>
      </c>
      <c r="J735" s="121">
        <f t="shared" si="354"/>
        <v>3770</v>
      </c>
      <c r="K735" s="121">
        <f t="shared" si="339"/>
        <v>100</v>
      </c>
    </row>
    <row r="736" spans="1:11">
      <c r="A736" s="119" t="s">
        <v>81</v>
      </c>
      <c r="B736" s="120" t="s">
        <v>90</v>
      </c>
      <c r="C736" s="120" t="s">
        <v>432</v>
      </c>
      <c r="D736" s="120" t="s">
        <v>69</v>
      </c>
      <c r="E736" s="120" t="s">
        <v>82</v>
      </c>
      <c r="F736" s="121">
        <f>2830+20+850+10+60</f>
        <v>3770</v>
      </c>
      <c r="G736" s="154">
        <f t="shared" si="330"/>
        <v>0</v>
      </c>
      <c r="H736" s="121">
        <f>2830+20+850+10+60</f>
        <v>3770</v>
      </c>
      <c r="I736" s="121">
        <v>3218.4463700000001</v>
      </c>
      <c r="J736" s="121">
        <f>2830+20+850+10+60</f>
        <v>3770</v>
      </c>
      <c r="K736" s="121">
        <f t="shared" si="339"/>
        <v>100</v>
      </c>
    </row>
    <row r="737" spans="1:11">
      <c r="A737" s="110" t="s">
        <v>83</v>
      </c>
      <c r="B737" s="111" t="s">
        <v>90</v>
      </c>
      <c r="C737" s="111" t="s">
        <v>432</v>
      </c>
      <c r="D737" s="111" t="s">
        <v>70</v>
      </c>
      <c r="E737" s="111"/>
      <c r="F737" s="112">
        <f>F738+F740</f>
        <v>85</v>
      </c>
      <c r="G737" s="154">
        <f t="shared" si="330"/>
        <v>0</v>
      </c>
      <c r="H737" s="112">
        <f>H738+H740</f>
        <v>85</v>
      </c>
      <c r="I737" s="112">
        <f t="shared" ref="I737:J737" si="355">I738+I740</f>
        <v>57.631999999999998</v>
      </c>
      <c r="J737" s="112">
        <f t="shared" si="355"/>
        <v>85</v>
      </c>
      <c r="K737" s="112">
        <f t="shared" si="339"/>
        <v>100</v>
      </c>
    </row>
    <row r="738" spans="1:11">
      <c r="A738" s="119" t="s">
        <v>596</v>
      </c>
      <c r="B738" s="120" t="s">
        <v>90</v>
      </c>
      <c r="C738" s="120" t="s">
        <v>432</v>
      </c>
      <c r="D738" s="120" t="s">
        <v>70</v>
      </c>
      <c r="E738" s="120" t="s">
        <v>84</v>
      </c>
      <c r="F738" s="121">
        <f>F739</f>
        <v>75</v>
      </c>
      <c r="G738" s="154">
        <f t="shared" si="330"/>
        <v>0</v>
      </c>
      <c r="H738" s="121">
        <f>H739</f>
        <v>75</v>
      </c>
      <c r="I738" s="121">
        <f t="shared" ref="I738:J738" si="356">I739</f>
        <v>57.631999999999998</v>
      </c>
      <c r="J738" s="121">
        <f t="shared" si="356"/>
        <v>75</v>
      </c>
      <c r="K738" s="121">
        <f t="shared" si="339"/>
        <v>100</v>
      </c>
    </row>
    <row r="739" spans="1:11">
      <c r="A739" s="119" t="s">
        <v>85</v>
      </c>
      <c r="B739" s="120" t="s">
        <v>90</v>
      </c>
      <c r="C739" s="120" t="s">
        <v>432</v>
      </c>
      <c r="D739" s="120" t="s">
        <v>70</v>
      </c>
      <c r="E739" s="120" t="s">
        <v>86</v>
      </c>
      <c r="F739" s="121">
        <f>5+10+10+50</f>
        <v>75</v>
      </c>
      <c r="G739" s="154">
        <f t="shared" si="330"/>
        <v>0</v>
      </c>
      <c r="H739" s="121">
        <f>5+10+10+50</f>
        <v>75</v>
      </c>
      <c r="I739" s="121">
        <v>57.631999999999998</v>
      </c>
      <c r="J739" s="121">
        <f>5+10+10+50</f>
        <v>75</v>
      </c>
      <c r="K739" s="121">
        <f t="shared" si="339"/>
        <v>100</v>
      </c>
    </row>
    <row r="740" spans="1:11">
      <c r="A740" s="119" t="s">
        <v>87</v>
      </c>
      <c r="B740" s="120" t="s">
        <v>90</v>
      </c>
      <c r="C740" s="120" t="s">
        <v>432</v>
      </c>
      <c r="D740" s="120" t="s">
        <v>70</v>
      </c>
      <c r="E740" s="120" t="s">
        <v>88</v>
      </c>
      <c r="F740" s="121">
        <f>F741</f>
        <v>10</v>
      </c>
      <c r="G740" s="154">
        <f t="shared" si="330"/>
        <v>0</v>
      </c>
      <c r="H740" s="121">
        <f>H741</f>
        <v>10</v>
      </c>
      <c r="I740" s="135">
        <f t="shared" ref="I740:J740" si="357">I741</f>
        <v>0</v>
      </c>
      <c r="J740" s="121">
        <f t="shared" si="357"/>
        <v>10</v>
      </c>
      <c r="K740" s="121">
        <f t="shared" si="339"/>
        <v>100</v>
      </c>
    </row>
    <row r="741" spans="1:11">
      <c r="A741" s="119" t="s">
        <v>514</v>
      </c>
      <c r="B741" s="120" t="s">
        <v>90</v>
      </c>
      <c r="C741" s="120" t="s">
        <v>432</v>
      </c>
      <c r="D741" s="120" t="s">
        <v>70</v>
      </c>
      <c r="E741" s="120" t="s">
        <v>89</v>
      </c>
      <c r="F741" s="121">
        <v>10</v>
      </c>
      <c r="G741" s="154">
        <f t="shared" si="330"/>
        <v>0</v>
      </c>
      <c r="H741" s="121">
        <v>10</v>
      </c>
      <c r="I741" s="135">
        <v>0</v>
      </c>
      <c r="J741" s="121">
        <v>10</v>
      </c>
      <c r="K741" s="121">
        <f t="shared" si="339"/>
        <v>100</v>
      </c>
    </row>
    <row r="742" spans="1:11">
      <c r="A742" s="110" t="s">
        <v>399</v>
      </c>
      <c r="B742" s="111" t="s">
        <v>489</v>
      </c>
      <c r="C742" s="111" t="s">
        <v>77</v>
      </c>
      <c r="D742" s="111"/>
      <c r="E742" s="111"/>
      <c r="F742" s="112">
        <f>F743+F755</f>
        <v>9930</v>
      </c>
      <c r="G742" s="154">
        <f t="shared" si="330"/>
        <v>-600</v>
      </c>
      <c r="H742" s="112">
        <f>H743+H755</f>
        <v>9330</v>
      </c>
      <c r="I742" s="112">
        <f t="shared" ref="I742:J742" si="358">I743+I755</f>
        <v>7961.8453799999988</v>
      </c>
      <c r="J742" s="112">
        <f t="shared" si="358"/>
        <v>9328.3040000000001</v>
      </c>
      <c r="K742" s="112">
        <f t="shared" si="339"/>
        <v>99.981822079314043</v>
      </c>
    </row>
    <row r="743" spans="1:11">
      <c r="A743" s="110" t="s">
        <v>387</v>
      </c>
      <c r="B743" s="111" t="s">
        <v>489</v>
      </c>
      <c r="C743" s="111" t="s">
        <v>76</v>
      </c>
      <c r="D743" s="111" t="s">
        <v>214</v>
      </c>
      <c r="E743" s="111"/>
      <c r="F743" s="112">
        <f>F744</f>
        <v>3320</v>
      </c>
      <c r="G743" s="154">
        <f t="shared" si="330"/>
        <v>-1000</v>
      </c>
      <c r="H743" s="112">
        <f>H744</f>
        <v>2320</v>
      </c>
      <c r="I743" s="112">
        <f t="shared" ref="I743:J745" si="359">I744</f>
        <v>2205.3089999999997</v>
      </c>
      <c r="J743" s="112">
        <f t="shared" si="359"/>
        <v>2318.3040000000001</v>
      </c>
      <c r="K743" s="112">
        <f t="shared" si="339"/>
        <v>99.926896551724141</v>
      </c>
    </row>
    <row r="744" spans="1:11">
      <c r="A744" s="110" t="s">
        <v>108</v>
      </c>
      <c r="B744" s="111" t="s">
        <v>489</v>
      </c>
      <c r="C744" s="111" t="s">
        <v>76</v>
      </c>
      <c r="D744" s="111" t="s">
        <v>215</v>
      </c>
      <c r="E744" s="111"/>
      <c r="F744" s="112">
        <f>F745</f>
        <v>3320</v>
      </c>
      <c r="G744" s="154">
        <f t="shared" si="330"/>
        <v>-1000</v>
      </c>
      <c r="H744" s="112">
        <f>H745</f>
        <v>2320</v>
      </c>
      <c r="I744" s="112">
        <f t="shared" si="359"/>
        <v>2205.3089999999997</v>
      </c>
      <c r="J744" s="112">
        <f t="shared" si="359"/>
        <v>2318.3040000000001</v>
      </c>
      <c r="K744" s="112">
        <f t="shared" si="339"/>
        <v>99.926896551724141</v>
      </c>
    </row>
    <row r="745" spans="1:11">
      <c r="A745" s="143" t="s">
        <v>485</v>
      </c>
      <c r="B745" s="139" t="s">
        <v>489</v>
      </c>
      <c r="C745" s="139" t="s">
        <v>76</v>
      </c>
      <c r="D745" s="139" t="s">
        <v>345</v>
      </c>
      <c r="E745" s="139"/>
      <c r="F745" s="144">
        <f>F746</f>
        <v>3320</v>
      </c>
      <c r="G745" s="154">
        <f t="shared" si="330"/>
        <v>-1000</v>
      </c>
      <c r="H745" s="144">
        <f>H746</f>
        <v>2320</v>
      </c>
      <c r="I745" s="144">
        <f t="shared" si="359"/>
        <v>2205.3089999999997</v>
      </c>
      <c r="J745" s="144">
        <f t="shared" si="359"/>
        <v>2318.3040000000001</v>
      </c>
      <c r="K745" s="144">
        <f t="shared" si="339"/>
        <v>99.926896551724141</v>
      </c>
    </row>
    <row r="746" spans="1:11">
      <c r="A746" s="110" t="s">
        <v>46</v>
      </c>
      <c r="B746" s="111" t="s">
        <v>489</v>
      </c>
      <c r="C746" s="111" t="s">
        <v>76</v>
      </c>
      <c r="D746" s="111" t="s">
        <v>345</v>
      </c>
      <c r="E746" s="111"/>
      <c r="F746" s="112">
        <f>F747+F749+F753</f>
        <v>3320</v>
      </c>
      <c r="G746" s="154">
        <f t="shared" si="330"/>
        <v>-1000</v>
      </c>
      <c r="H746" s="112">
        <f>H747+H749+H751+H753</f>
        <v>2320</v>
      </c>
      <c r="I746" s="112">
        <f t="shared" ref="I746:J746" si="360">I747+I749+I751+I753</f>
        <v>2205.3089999999997</v>
      </c>
      <c r="J746" s="112">
        <f t="shared" si="360"/>
        <v>2318.3040000000001</v>
      </c>
      <c r="K746" s="112">
        <f t="shared" si="339"/>
        <v>99.926896551724141</v>
      </c>
    </row>
    <row r="747" spans="1:11" ht="36">
      <c r="A747" s="119" t="s">
        <v>79</v>
      </c>
      <c r="B747" s="120" t="s">
        <v>489</v>
      </c>
      <c r="C747" s="120" t="s">
        <v>76</v>
      </c>
      <c r="D747" s="120" t="s">
        <v>345</v>
      </c>
      <c r="E747" s="120" t="s">
        <v>80</v>
      </c>
      <c r="F747" s="121">
        <f>F748</f>
        <v>3264</v>
      </c>
      <c r="G747" s="154">
        <f t="shared" si="330"/>
        <v>-997.55299999999988</v>
      </c>
      <c r="H747" s="121">
        <f>H748</f>
        <v>2266.4470000000001</v>
      </c>
      <c r="I747" s="121">
        <f t="shared" ref="I747:J747" si="361">I748</f>
        <v>2162.808</v>
      </c>
      <c r="J747" s="121">
        <f t="shared" si="361"/>
        <v>2266.4470000000001</v>
      </c>
      <c r="K747" s="121">
        <f t="shared" si="339"/>
        <v>100</v>
      </c>
    </row>
    <row r="748" spans="1:11">
      <c r="A748" s="119" t="s">
        <v>486</v>
      </c>
      <c r="B748" s="120" t="s">
        <v>489</v>
      </c>
      <c r="C748" s="120" t="s">
        <v>76</v>
      </c>
      <c r="D748" s="120" t="s">
        <v>345</v>
      </c>
      <c r="E748" s="120" t="s">
        <v>487</v>
      </c>
      <c r="F748" s="121">
        <f>2420+730+12+102</f>
        <v>3264</v>
      </c>
      <c r="G748" s="154">
        <f t="shared" si="330"/>
        <v>-997.55299999999988</v>
      </c>
      <c r="H748" s="121">
        <f>2420+730+12+102-71.314+28.421-954.66</f>
        <v>2266.4470000000001</v>
      </c>
      <c r="I748" s="121">
        <v>2162.808</v>
      </c>
      <c r="J748" s="121">
        <f>2420+730+12+102-71.314+28.421-954.66</f>
        <v>2266.4470000000001</v>
      </c>
      <c r="K748" s="121">
        <f t="shared" si="339"/>
        <v>100</v>
      </c>
    </row>
    <row r="749" spans="1:11">
      <c r="A749" s="119" t="s">
        <v>301</v>
      </c>
      <c r="B749" s="120" t="s">
        <v>489</v>
      </c>
      <c r="C749" s="120" t="s">
        <v>76</v>
      </c>
      <c r="D749" s="120" t="s">
        <v>345</v>
      </c>
      <c r="E749" s="120" t="s">
        <v>84</v>
      </c>
      <c r="F749" s="121">
        <f>F750</f>
        <v>50</v>
      </c>
      <c r="G749" s="154">
        <f t="shared" ref="G749:G765" si="362">H749-F749</f>
        <v>-45.34</v>
      </c>
      <c r="H749" s="121">
        <f>H750</f>
        <v>4.66</v>
      </c>
      <c r="I749" s="121">
        <f t="shared" ref="I749:J749" si="363">I750</f>
        <v>2.964</v>
      </c>
      <c r="J749" s="121">
        <f t="shared" si="363"/>
        <v>2.964</v>
      </c>
      <c r="K749" s="121">
        <f t="shared" si="339"/>
        <v>63.605150214592278</v>
      </c>
    </row>
    <row r="750" spans="1:11">
      <c r="A750" s="119" t="s">
        <v>85</v>
      </c>
      <c r="B750" s="120" t="s">
        <v>489</v>
      </c>
      <c r="C750" s="120" t="s">
        <v>76</v>
      </c>
      <c r="D750" s="120" t="s">
        <v>345</v>
      </c>
      <c r="E750" s="120" t="s">
        <v>86</v>
      </c>
      <c r="F750" s="121">
        <v>50</v>
      </c>
      <c r="G750" s="154">
        <f t="shared" si="362"/>
        <v>-45.34</v>
      </c>
      <c r="H750" s="121">
        <v>4.66</v>
      </c>
      <c r="I750" s="121">
        <v>2.964</v>
      </c>
      <c r="J750" s="121">
        <v>2.964</v>
      </c>
      <c r="K750" s="121">
        <f t="shared" si="339"/>
        <v>63.605150214592278</v>
      </c>
    </row>
    <row r="751" spans="1:11">
      <c r="A751" s="223" t="s">
        <v>95</v>
      </c>
      <c r="B751" s="120" t="s">
        <v>489</v>
      </c>
      <c r="C751" s="120" t="s">
        <v>76</v>
      </c>
      <c r="D751" s="120" t="s">
        <v>345</v>
      </c>
      <c r="E751" s="120" t="s">
        <v>94</v>
      </c>
      <c r="F751" s="121"/>
      <c r="G751" s="154"/>
      <c r="H751" s="121">
        <f>H752</f>
        <v>39.536999999999999</v>
      </c>
      <c r="I751" s="121">
        <f t="shared" ref="I751:J751" si="364">I752</f>
        <v>39.536999999999999</v>
      </c>
      <c r="J751" s="121">
        <f t="shared" si="364"/>
        <v>39.536999999999999</v>
      </c>
      <c r="K751" s="121">
        <f t="shared" si="339"/>
        <v>100</v>
      </c>
    </row>
    <row r="752" spans="1:11">
      <c r="A752" s="223" t="s">
        <v>96</v>
      </c>
      <c r="B752" s="120" t="s">
        <v>489</v>
      </c>
      <c r="C752" s="120" t="s">
        <v>76</v>
      </c>
      <c r="D752" s="120" t="s">
        <v>345</v>
      </c>
      <c r="E752" s="120" t="s">
        <v>97</v>
      </c>
      <c r="F752" s="121"/>
      <c r="G752" s="154"/>
      <c r="H752" s="121">
        <v>39.536999999999999</v>
      </c>
      <c r="I752" s="121">
        <v>39.536999999999999</v>
      </c>
      <c r="J752" s="121">
        <v>39.536999999999999</v>
      </c>
      <c r="K752" s="121">
        <f t="shared" si="339"/>
        <v>100</v>
      </c>
    </row>
    <row r="753" spans="1:11">
      <c r="A753" s="119" t="s">
        <v>87</v>
      </c>
      <c r="B753" s="120" t="s">
        <v>489</v>
      </c>
      <c r="C753" s="120" t="s">
        <v>76</v>
      </c>
      <c r="D753" s="120" t="s">
        <v>345</v>
      </c>
      <c r="E753" s="120" t="s">
        <v>88</v>
      </c>
      <c r="F753" s="121">
        <f>F754</f>
        <v>6</v>
      </c>
      <c r="G753" s="154">
        <f t="shared" si="362"/>
        <v>3.3559999999999999</v>
      </c>
      <c r="H753" s="121">
        <f>H754</f>
        <v>9.3559999999999999</v>
      </c>
      <c r="I753" s="135">
        <f t="shared" ref="I753:J753" si="365">I754</f>
        <v>0</v>
      </c>
      <c r="J753" s="121">
        <f t="shared" si="365"/>
        <v>9.3559999999999999</v>
      </c>
      <c r="K753" s="121">
        <f t="shared" si="339"/>
        <v>100</v>
      </c>
    </row>
    <row r="754" spans="1:11">
      <c r="A754" s="119" t="s">
        <v>155</v>
      </c>
      <c r="B754" s="120" t="s">
        <v>489</v>
      </c>
      <c r="C754" s="120" t="s">
        <v>76</v>
      </c>
      <c r="D754" s="120" t="s">
        <v>345</v>
      </c>
      <c r="E754" s="120" t="s">
        <v>89</v>
      </c>
      <c r="F754" s="121">
        <v>6</v>
      </c>
      <c r="G754" s="154">
        <f t="shared" si="362"/>
        <v>3.3559999999999999</v>
      </c>
      <c r="H754" s="121">
        <f>6+0.242+3.114</f>
        <v>9.3559999999999999</v>
      </c>
      <c r="I754" s="135">
        <v>0</v>
      </c>
      <c r="J754" s="121">
        <f>6+0.242+3.114</f>
        <v>9.3559999999999999</v>
      </c>
      <c r="K754" s="121">
        <f t="shared" si="339"/>
        <v>100</v>
      </c>
    </row>
    <row r="755" spans="1:11" ht="15.75">
      <c r="A755" s="110" t="s">
        <v>388</v>
      </c>
      <c r="B755" s="111" t="s">
        <v>489</v>
      </c>
      <c r="C755" s="111" t="s">
        <v>491</v>
      </c>
      <c r="D755" s="111" t="s">
        <v>214</v>
      </c>
      <c r="E755" s="117"/>
      <c r="F755" s="112">
        <f>F756</f>
        <v>6610</v>
      </c>
      <c r="G755" s="154">
        <f t="shared" si="362"/>
        <v>400</v>
      </c>
      <c r="H755" s="112">
        <f>H756</f>
        <v>7010</v>
      </c>
      <c r="I755" s="112">
        <f t="shared" ref="I755:J758" si="366">I756</f>
        <v>5756.5363799999996</v>
      </c>
      <c r="J755" s="112">
        <f t="shared" si="366"/>
        <v>7010</v>
      </c>
      <c r="K755" s="112">
        <f t="shared" si="339"/>
        <v>100</v>
      </c>
    </row>
    <row r="756" spans="1:11">
      <c r="A756" s="110" t="s">
        <v>108</v>
      </c>
      <c r="B756" s="111" t="s">
        <v>489</v>
      </c>
      <c r="C756" s="111" t="s">
        <v>491</v>
      </c>
      <c r="D756" s="111" t="s">
        <v>215</v>
      </c>
      <c r="E756" s="111"/>
      <c r="F756" s="112">
        <f>F757</f>
        <v>6610</v>
      </c>
      <c r="G756" s="154">
        <f t="shared" si="362"/>
        <v>400</v>
      </c>
      <c r="H756" s="112">
        <f>H757</f>
        <v>7010</v>
      </c>
      <c r="I756" s="112">
        <f t="shared" si="366"/>
        <v>5756.5363799999996</v>
      </c>
      <c r="J756" s="112">
        <f t="shared" si="366"/>
        <v>7010</v>
      </c>
      <c r="K756" s="112">
        <f t="shared" si="339"/>
        <v>100</v>
      </c>
    </row>
    <row r="757" spans="1:11" ht="24">
      <c r="A757" s="110" t="s">
        <v>48</v>
      </c>
      <c r="B757" s="111" t="s">
        <v>489</v>
      </c>
      <c r="C757" s="111" t="s">
        <v>491</v>
      </c>
      <c r="D757" s="111" t="s">
        <v>578</v>
      </c>
      <c r="E757" s="111"/>
      <c r="F757" s="112">
        <f>F758</f>
        <v>6610</v>
      </c>
      <c r="G757" s="154">
        <f t="shared" si="362"/>
        <v>400</v>
      </c>
      <c r="H757" s="112">
        <f>H758</f>
        <v>7010</v>
      </c>
      <c r="I757" s="112">
        <f t="shared" si="366"/>
        <v>5756.5363799999996</v>
      </c>
      <c r="J757" s="112">
        <f t="shared" si="366"/>
        <v>7010</v>
      </c>
      <c r="K757" s="112">
        <f t="shared" si="339"/>
        <v>100</v>
      </c>
    </row>
    <row r="758" spans="1:11" ht="24">
      <c r="A758" s="119" t="s">
        <v>104</v>
      </c>
      <c r="B758" s="120" t="s">
        <v>489</v>
      </c>
      <c r="C758" s="120" t="s">
        <v>491</v>
      </c>
      <c r="D758" s="120" t="s">
        <v>578</v>
      </c>
      <c r="E758" s="120" t="s">
        <v>408</v>
      </c>
      <c r="F758" s="121">
        <f>F759</f>
        <v>6610</v>
      </c>
      <c r="G758" s="154">
        <f t="shared" si="362"/>
        <v>400</v>
      </c>
      <c r="H758" s="121">
        <f>H759</f>
        <v>7010</v>
      </c>
      <c r="I758" s="121">
        <f t="shared" si="366"/>
        <v>5756.5363799999996</v>
      </c>
      <c r="J758" s="121">
        <f t="shared" si="366"/>
        <v>7010</v>
      </c>
      <c r="K758" s="121">
        <f t="shared" si="339"/>
        <v>100</v>
      </c>
    </row>
    <row r="759" spans="1:11">
      <c r="A759" s="119" t="s">
        <v>105</v>
      </c>
      <c r="B759" s="120" t="s">
        <v>489</v>
      </c>
      <c r="C759" s="120" t="s">
        <v>491</v>
      </c>
      <c r="D759" s="120" t="s">
        <v>578</v>
      </c>
      <c r="E759" s="120" t="s">
        <v>425</v>
      </c>
      <c r="F759" s="121">
        <v>6610</v>
      </c>
      <c r="G759" s="154">
        <f t="shared" si="362"/>
        <v>400</v>
      </c>
      <c r="H759" s="121">
        <f>6610+400</f>
        <v>7010</v>
      </c>
      <c r="I759" s="121">
        <v>5756.5363799999996</v>
      </c>
      <c r="J759" s="121">
        <f>6610+400</f>
        <v>7010</v>
      </c>
      <c r="K759" s="121">
        <f t="shared" si="339"/>
        <v>100</v>
      </c>
    </row>
    <row r="760" spans="1:11">
      <c r="A760" s="110" t="s">
        <v>400</v>
      </c>
      <c r="B760" s="111" t="s">
        <v>93</v>
      </c>
      <c r="C760" s="111" t="s">
        <v>77</v>
      </c>
      <c r="D760" s="111"/>
      <c r="E760" s="111"/>
      <c r="F760" s="112">
        <f>F761</f>
        <v>115000</v>
      </c>
      <c r="G760" s="154">
        <f t="shared" si="362"/>
        <v>-1859.3999999999942</v>
      </c>
      <c r="H760" s="112">
        <f>H761</f>
        <v>113140.6</v>
      </c>
      <c r="I760" s="112">
        <f t="shared" ref="I760:J764" si="367">I761</f>
        <v>49207.341820000001</v>
      </c>
      <c r="J760" s="112">
        <f t="shared" si="367"/>
        <v>68140.600000000006</v>
      </c>
      <c r="K760" s="112">
        <f t="shared" si="339"/>
        <v>60.226479265621712</v>
      </c>
    </row>
    <row r="761" spans="1:11">
      <c r="A761" s="110" t="s">
        <v>304</v>
      </c>
      <c r="B761" s="111" t="s">
        <v>93</v>
      </c>
      <c r="C761" s="111" t="s">
        <v>76</v>
      </c>
      <c r="D761" s="142" t="s">
        <v>215</v>
      </c>
      <c r="E761" s="111"/>
      <c r="F761" s="112">
        <f>F762</f>
        <v>115000</v>
      </c>
      <c r="G761" s="154">
        <f t="shared" si="362"/>
        <v>-1859.3999999999942</v>
      </c>
      <c r="H761" s="112">
        <f>H762</f>
        <v>113140.6</v>
      </c>
      <c r="I761" s="112">
        <f t="shared" si="367"/>
        <v>49207.341820000001</v>
      </c>
      <c r="J761" s="112">
        <f t="shared" si="367"/>
        <v>68140.600000000006</v>
      </c>
      <c r="K761" s="112">
        <f t="shared" ref="K761:K765" si="368">J761/H761*100</f>
        <v>60.226479265621712</v>
      </c>
    </row>
    <row r="762" spans="1:11" ht="15.75">
      <c r="A762" s="110" t="s">
        <v>428</v>
      </c>
      <c r="B762" s="111" t="s">
        <v>93</v>
      </c>
      <c r="C762" s="111" t="s">
        <v>76</v>
      </c>
      <c r="D762" s="111" t="s">
        <v>676</v>
      </c>
      <c r="E762" s="117"/>
      <c r="F762" s="112">
        <f>F763</f>
        <v>115000</v>
      </c>
      <c r="G762" s="154">
        <f t="shared" si="362"/>
        <v>-1859.3999999999942</v>
      </c>
      <c r="H762" s="112">
        <f>H763</f>
        <v>113140.6</v>
      </c>
      <c r="I762" s="112">
        <f t="shared" si="367"/>
        <v>49207.341820000001</v>
      </c>
      <c r="J762" s="112">
        <f t="shared" si="367"/>
        <v>68140.600000000006</v>
      </c>
      <c r="K762" s="112">
        <f t="shared" si="368"/>
        <v>60.226479265621712</v>
      </c>
    </row>
    <row r="763" spans="1:11">
      <c r="A763" s="143" t="s">
        <v>316</v>
      </c>
      <c r="B763" s="139" t="s">
        <v>93</v>
      </c>
      <c r="C763" s="139" t="s">
        <v>76</v>
      </c>
      <c r="D763" s="160" t="s">
        <v>676</v>
      </c>
      <c r="E763" s="139"/>
      <c r="F763" s="144">
        <f>F764</f>
        <v>115000</v>
      </c>
      <c r="G763" s="154">
        <f t="shared" si="362"/>
        <v>-1859.3999999999942</v>
      </c>
      <c r="H763" s="144">
        <f>H764</f>
        <v>113140.6</v>
      </c>
      <c r="I763" s="144">
        <f t="shared" si="367"/>
        <v>49207.341820000001</v>
      </c>
      <c r="J763" s="144">
        <f t="shared" si="367"/>
        <v>68140.600000000006</v>
      </c>
      <c r="K763" s="144">
        <f t="shared" si="368"/>
        <v>60.226479265621712</v>
      </c>
    </row>
    <row r="764" spans="1:11">
      <c r="A764" s="119" t="s">
        <v>305</v>
      </c>
      <c r="B764" s="120" t="s">
        <v>93</v>
      </c>
      <c r="C764" s="120" t="s">
        <v>76</v>
      </c>
      <c r="D764" s="120" t="s">
        <v>676</v>
      </c>
      <c r="E764" s="120" t="s">
        <v>306</v>
      </c>
      <c r="F764" s="121">
        <f>F765</f>
        <v>115000</v>
      </c>
      <c r="G764" s="154">
        <f t="shared" si="362"/>
        <v>-1859.3999999999942</v>
      </c>
      <c r="H764" s="121">
        <f>H765</f>
        <v>113140.6</v>
      </c>
      <c r="I764" s="121">
        <f t="shared" si="367"/>
        <v>49207.341820000001</v>
      </c>
      <c r="J764" s="121">
        <f t="shared" si="367"/>
        <v>68140.600000000006</v>
      </c>
      <c r="K764" s="121">
        <f t="shared" si="368"/>
        <v>60.226479265621712</v>
      </c>
    </row>
    <row r="765" spans="1:11">
      <c r="A765" s="119" t="s">
        <v>307</v>
      </c>
      <c r="B765" s="120" t="s">
        <v>93</v>
      </c>
      <c r="C765" s="120" t="s">
        <v>76</v>
      </c>
      <c r="D765" s="120" t="s">
        <v>676</v>
      </c>
      <c r="E765" s="120" t="s">
        <v>414</v>
      </c>
      <c r="F765" s="121">
        <v>115000</v>
      </c>
      <c r="G765" s="154">
        <f t="shared" si="362"/>
        <v>-1859.3999999999942</v>
      </c>
      <c r="H765" s="121">
        <f>115000-1859.4</f>
        <v>113140.6</v>
      </c>
      <c r="I765" s="121">
        <v>49207.341820000001</v>
      </c>
      <c r="J765" s="121">
        <f>115000-1859.4-30920.8+2777-16856.2</f>
        <v>68140.600000000006</v>
      </c>
      <c r="K765" s="121">
        <f t="shared" si="368"/>
        <v>60.226479265621712</v>
      </c>
    </row>
    <row r="766" spans="1:11">
      <c r="A766" s="49"/>
      <c r="B766" s="8"/>
      <c r="C766" s="8"/>
      <c r="D766" s="8"/>
      <c r="E766" s="8"/>
    </row>
    <row r="767" spans="1:11" ht="19.5" customHeight="1">
      <c r="A767" s="258" t="s">
        <v>796</v>
      </c>
      <c r="B767" s="258"/>
      <c r="C767" s="258"/>
      <c r="D767" s="8"/>
      <c r="E767" s="8"/>
    </row>
    <row r="768" spans="1:11">
      <c r="A768" s="49"/>
      <c r="B768" s="8"/>
      <c r="C768" s="8"/>
      <c r="D768" s="8"/>
      <c r="E768" s="8"/>
    </row>
    <row r="769" spans="1:5">
      <c r="A769" s="49"/>
      <c r="B769" s="8"/>
      <c r="C769" s="8"/>
      <c r="D769" s="8"/>
      <c r="E769" s="8"/>
    </row>
    <row r="770" spans="1:5">
      <c r="A770" s="49"/>
      <c r="B770" s="8"/>
      <c r="C770" s="8"/>
      <c r="D770" s="8"/>
      <c r="E770" s="8"/>
    </row>
    <row r="771" spans="1:5">
      <c r="A771" s="49"/>
      <c r="B771" s="8"/>
      <c r="C771" s="8"/>
      <c r="D771" s="8"/>
      <c r="E771" s="8"/>
    </row>
    <row r="772" spans="1:5">
      <c r="A772" s="49"/>
      <c r="B772" s="8"/>
      <c r="C772" s="8"/>
      <c r="D772" s="8"/>
      <c r="E772" s="8"/>
    </row>
    <row r="773" spans="1:5">
      <c r="A773" s="49"/>
      <c r="B773" s="8"/>
      <c r="C773" s="8"/>
      <c r="D773" s="8"/>
      <c r="E773" s="8"/>
    </row>
    <row r="774" spans="1:5">
      <c r="A774" s="49"/>
      <c r="B774" s="8"/>
      <c r="C774" s="8"/>
      <c r="D774" s="8"/>
      <c r="E774" s="8"/>
    </row>
    <row r="775" spans="1:5">
      <c r="A775" s="49"/>
      <c r="B775" s="8"/>
      <c r="C775" s="8"/>
      <c r="D775" s="8"/>
      <c r="E775" s="8"/>
    </row>
    <row r="776" spans="1:5">
      <c r="A776" s="49"/>
      <c r="B776" s="8"/>
      <c r="C776" s="8"/>
      <c r="D776" s="8"/>
      <c r="E776" s="8"/>
    </row>
    <row r="777" spans="1:5">
      <c r="A777" s="49"/>
      <c r="B777" s="8"/>
      <c r="C777" s="8"/>
      <c r="D777" s="8"/>
      <c r="E777" s="8"/>
    </row>
    <row r="778" spans="1:5">
      <c r="A778" s="49"/>
      <c r="B778" s="8"/>
      <c r="C778" s="8"/>
      <c r="D778" s="8"/>
      <c r="E778" s="8"/>
    </row>
    <row r="779" spans="1:5">
      <c r="A779" s="49"/>
      <c r="B779" s="8"/>
      <c r="C779" s="8"/>
      <c r="D779" s="8"/>
      <c r="E779" s="8"/>
    </row>
    <row r="780" spans="1:5">
      <c r="A780" s="49"/>
      <c r="B780" s="8"/>
      <c r="C780" s="8"/>
      <c r="D780" s="8"/>
      <c r="E780" s="8"/>
    </row>
    <row r="781" spans="1:5">
      <c r="A781" s="49"/>
      <c r="B781" s="8"/>
      <c r="C781" s="8"/>
      <c r="D781" s="8"/>
      <c r="E781" s="8"/>
    </row>
    <row r="782" spans="1:5">
      <c r="A782" s="49"/>
      <c r="B782" s="8"/>
      <c r="C782" s="8"/>
      <c r="D782" s="8"/>
      <c r="E782" s="8"/>
    </row>
    <row r="783" spans="1:5">
      <c r="A783" s="49"/>
      <c r="B783" s="8"/>
      <c r="C783" s="8"/>
      <c r="D783" s="8"/>
      <c r="E783" s="8"/>
    </row>
    <row r="784" spans="1:5">
      <c r="A784" s="49"/>
      <c r="B784" s="8"/>
      <c r="C784" s="8"/>
      <c r="D784" s="8"/>
      <c r="E784" s="8"/>
    </row>
    <row r="785" spans="1:5">
      <c r="A785" s="49"/>
      <c r="B785" s="8"/>
      <c r="C785" s="8"/>
      <c r="D785" s="8"/>
      <c r="E785" s="8"/>
    </row>
    <row r="786" spans="1:5">
      <c r="A786" s="49"/>
      <c r="B786" s="8"/>
      <c r="C786" s="8"/>
      <c r="D786" s="8"/>
      <c r="E786" s="8"/>
    </row>
    <row r="787" spans="1:5">
      <c r="A787" s="49"/>
      <c r="B787" s="8"/>
      <c r="C787" s="8"/>
      <c r="D787" s="8"/>
      <c r="E787" s="8"/>
    </row>
    <row r="788" spans="1:5">
      <c r="A788" s="49"/>
      <c r="B788" s="8"/>
      <c r="C788" s="8"/>
      <c r="D788" s="8"/>
      <c r="E788" s="8"/>
    </row>
    <row r="789" spans="1:5">
      <c r="A789" s="49"/>
      <c r="B789" s="8"/>
      <c r="C789" s="8"/>
      <c r="D789" s="8"/>
      <c r="E789" s="8"/>
    </row>
    <row r="790" spans="1:5">
      <c r="A790" s="49"/>
      <c r="B790" s="8"/>
      <c r="C790" s="8"/>
      <c r="D790" s="8"/>
      <c r="E790" s="8"/>
    </row>
    <row r="791" spans="1:5">
      <c r="A791" s="49"/>
      <c r="B791" s="8"/>
      <c r="C791" s="8"/>
      <c r="D791" s="8"/>
      <c r="E791" s="8"/>
    </row>
    <row r="792" spans="1:5">
      <c r="A792" s="49"/>
      <c r="B792" s="8"/>
      <c r="C792" s="8"/>
      <c r="D792" s="8"/>
      <c r="E792" s="8"/>
    </row>
    <row r="793" spans="1:5">
      <c r="A793" s="49"/>
      <c r="B793" s="8"/>
      <c r="C793" s="8"/>
      <c r="D793" s="8"/>
      <c r="E793" s="8"/>
    </row>
    <row r="794" spans="1:5">
      <c r="A794" s="49"/>
      <c r="B794" s="8"/>
      <c r="C794" s="8"/>
      <c r="D794" s="8"/>
      <c r="E794" s="8"/>
    </row>
    <row r="795" spans="1:5">
      <c r="A795" s="49"/>
      <c r="B795" s="8"/>
      <c r="C795" s="8"/>
      <c r="D795" s="8"/>
      <c r="E795" s="8"/>
    </row>
    <row r="796" spans="1:5">
      <c r="A796" s="49"/>
      <c r="B796" s="8"/>
      <c r="C796" s="8"/>
      <c r="D796" s="8"/>
      <c r="E796" s="8"/>
    </row>
    <row r="797" spans="1:5">
      <c r="A797" s="49"/>
      <c r="B797" s="8"/>
      <c r="C797" s="8"/>
      <c r="D797" s="8"/>
      <c r="E797" s="8"/>
    </row>
    <row r="798" spans="1:5">
      <c r="A798" s="49"/>
      <c r="B798" s="8"/>
      <c r="C798" s="8"/>
      <c r="D798" s="8"/>
      <c r="E798" s="8"/>
    </row>
    <row r="799" spans="1:5">
      <c r="A799" s="49"/>
      <c r="B799" s="8"/>
      <c r="C799" s="8"/>
      <c r="D799" s="8"/>
      <c r="E799" s="8"/>
    </row>
    <row r="800" spans="1:5">
      <c r="A800" s="49"/>
      <c r="B800" s="8"/>
      <c r="C800" s="8"/>
      <c r="D800" s="8"/>
      <c r="E800" s="8"/>
    </row>
    <row r="801" spans="1:5">
      <c r="A801" s="49"/>
      <c r="B801" s="8"/>
      <c r="C801" s="8"/>
      <c r="D801" s="8"/>
      <c r="E801" s="8"/>
    </row>
    <row r="802" spans="1:5">
      <c r="A802" s="49"/>
      <c r="B802" s="8"/>
      <c r="C802" s="8"/>
      <c r="D802" s="8"/>
      <c r="E802" s="8"/>
    </row>
    <row r="803" spans="1:5">
      <c r="A803" s="49"/>
      <c r="B803" s="8"/>
      <c r="C803" s="8"/>
      <c r="D803" s="8"/>
      <c r="E803" s="8"/>
    </row>
    <row r="804" spans="1:5">
      <c r="A804" s="49"/>
      <c r="B804" s="8"/>
      <c r="C804" s="8"/>
      <c r="D804" s="8"/>
      <c r="E804" s="8"/>
    </row>
    <row r="805" spans="1:5">
      <c r="A805" s="49"/>
      <c r="B805" s="8"/>
      <c r="C805" s="8"/>
      <c r="D805" s="8"/>
      <c r="E805" s="8"/>
    </row>
    <row r="806" spans="1:5">
      <c r="A806" s="49"/>
      <c r="B806" s="8"/>
      <c r="C806" s="8"/>
      <c r="D806" s="8"/>
      <c r="E806" s="8"/>
    </row>
    <row r="807" spans="1:5">
      <c r="A807" s="49"/>
      <c r="B807" s="8"/>
      <c r="C807" s="8"/>
      <c r="D807" s="8"/>
      <c r="E807" s="8"/>
    </row>
    <row r="808" spans="1:5">
      <c r="A808" s="49"/>
      <c r="B808" s="8"/>
      <c r="C808" s="8"/>
      <c r="D808" s="8"/>
      <c r="E808" s="8"/>
    </row>
    <row r="809" spans="1:5">
      <c r="A809" s="49"/>
      <c r="B809" s="8"/>
      <c r="C809" s="8"/>
      <c r="D809" s="8"/>
      <c r="E809" s="8"/>
    </row>
    <row r="810" spans="1:5">
      <c r="A810" s="49"/>
      <c r="B810" s="8"/>
      <c r="C810" s="8"/>
      <c r="D810" s="8"/>
      <c r="E810" s="8"/>
    </row>
    <row r="811" spans="1:5">
      <c r="A811" s="49"/>
      <c r="B811" s="8"/>
      <c r="C811" s="8"/>
      <c r="D811" s="8"/>
      <c r="E811" s="8"/>
    </row>
    <row r="812" spans="1:5">
      <c r="A812" s="49"/>
      <c r="B812" s="8"/>
      <c r="C812" s="8"/>
      <c r="D812" s="8"/>
      <c r="E812" s="8"/>
    </row>
    <row r="813" spans="1:5">
      <c r="A813" s="49"/>
      <c r="B813" s="8"/>
      <c r="C813" s="8"/>
      <c r="D813" s="8"/>
      <c r="E813" s="8"/>
    </row>
    <row r="814" spans="1:5">
      <c r="A814" s="49"/>
      <c r="B814" s="8"/>
      <c r="C814" s="8"/>
      <c r="D814" s="8"/>
      <c r="E814" s="8"/>
    </row>
    <row r="815" spans="1:5">
      <c r="A815" s="49"/>
      <c r="B815" s="8"/>
      <c r="C815" s="8"/>
      <c r="D815" s="8"/>
      <c r="E815" s="8"/>
    </row>
    <row r="816" spans="1:5">
      <c r="A816" s="49"/>
      <c r="B816" s="8"/>
      <c r="C816" s="8"/>
      <c r="D816" s="8"/>
      <c r="E816" s="8"/>
    </row>
    <row r="817" spans="1:5">
      <c r="A817" s="49"/>
      <c r="B817" s="8"/>
      <c r="C817" s="8"/>
      <c r="D817" s="8"/>
      <c r="E817" s="8"/>
    </row>
    <row r="818" spans="1:5">
      <c r="A818" s="49"/>
      <c r="B818" s="8"/>
      <c r="C818" s="8"/>
      <c r="D818" s="8"/>
      <c r="E818" s="8"/>
    </row>
    <row r="819" spans="1:5">
      <c r="A819" s="49"/>
      <c r="B819" s="8"/>
      <c r="C819" s="8"/>
      <c r="D819" s="8"/>
      <c r="E819" s="8"/>
    </row>
    <row r="820" spans="1:5">
      <c r="A820" s="49"/>
      <c r="B820" s="8"/>
      <c r="C820" s="8"/>
      <c r="D820" s="8"/>
      <c r="E820" s="8"/>
    </row>
    <row r="821" spans="1:5">
      <c r="A821" s="49"/>
      <c r="B821" s="8"/>
      <c r="C821" s="8"/>
      <c r="D821" s="8"/>
      <c r="E821" s="8"/>
    </row>
    <row r="822" spans="1:5">
      <c r="A822" s="49"/>
      <c r="B822" s="8"/>
      <c r="C822" s="8"/>
      <c r="D822" s="8"/>
      <c r="E822" s="8"/>
    </row>
    <row r="823" spans="1:5">
      <c r="A823" s="49"/>
      <c r="B823" s="8"/>
      <c r="C823" s="8"/>
      <c r="D823" s="8"/>
      <c r="E823" s="8"/>
    </row>
    <row r="824" spans="1:5">
      <c r="A824" s="49"/>
      <c r="B824" s="8"/>
      <c r="C824" s="8"/>
      <c r="D824" s="8"/>
      <c r="E824" s="8"/>
    </row>
    <row r="825" spans="1:5">
      <c r="A825" s="49"/>
      <c r="B825" s="8"/>
      <c r="C825" s="8"/>
      <c r="D825" s="8"/>
      <c r="E825" s="8"/>
    </row>
    <row r="826" spans="1:5">
      <c r="A826" s="49"/>
      <c r="B826" s="8"/>
      <c r="C826" s="8"/>
      <c r="D826" s="8"/>
      <c r="E826" s="8"/>
    </row>
    <row r="827" spans="1:5">
      <c r="A827" s="49"/>
      <c r="B827" s="8"/>
      <c r="C827" s="8"/>
      <c r="D827" s="8"/>
      <c r="E827" s="8"/>
    </row>
    <row r="828" spans="1:5">
      <c r="A828" s="49"/>
      <c r="B828" s="8"/>
      <c r="C828" s="8"/>
      <c r="D828" s="8"/>
      <c r="E828" s="8"/>
    </row>
    <row r="829" spans="1:5">
      <c r="A829" s="49"/>
      <c r="B829" s="8"/>
      <c r="C829" s="8"/>
      <c r="D829" s="8"/>
      <c r="E829" s="8"/>
    </row>
    <row r="830" spans="1:5">
      <c r="A830" s="49"/>
      <c r="B830" s="8"/>
      <c r="C830" s="8"/>
      <c r="D830" s="8"/>
      <c r="E830" s="8"/>
    </row>
    <row r="831" spans="1:5">
      <c r="A831" s="49"/>
      <c r="B831" s="8"/>
      <c r="C831" s="8"/>
      <c r="D831" s="8"/>
      <c r="E831" s="8"/>
    </row>
    <row r="832" spans="1:5">
      <c r="A832" s="49"/>
      <c r="B832" s="8"/>
      <c r="C832" s="8"/>
      <c r="D832" s="8"/>
      <c r="E832" s="8"/>
    </row>
    <row r="833" spans="1:5">
      <c r="A833" s="49"/>
      <c r="B833" s="8"/>
      <c r="C833" s="8"/>
      <c r="D833" s="8"/>
      <c r="E833" s="8"/>
    </row>
    <row r="834" spans="1:5">
      <c r="A834" s="49"/>
      <c r="B834" s="8"/>
      <c r="C834" s="8"/>
      <c r="D834" s="8"/>
      <c r="E834" s="8"/>
    </row>
    <row r="835" spans="1:5">
      <c r="A835" s="49"/>
      <c r="B835" s="8"/>
      <c r="C835" s="8"/>
      <c r="D835" s="8"/>
      <c r="E835" s="8"/>
    </row>
    <row r="836" spans="1:5">
      <c r="A836" s="49"/>
      <c r="B836" s="8"/>
      <c r="C836" s="8"/>
      <c r="D836" s="8"/>
      <c r="E836" s="8"/>
    </row>
    <row r="837" spans="1:5">
      <c r="A837" s="49"/>
      <c r="B837" s="8"/>
      <c r="C837" s="8"/>
      <c r="D837" s="8"/>
      <c r="E837" s="8"/>
    </row>
    <row r="838" spans="1:5">
      <c r="A838" s="49"/>
      <c r="B838" s="8"/>
      <c r="C838" s="8"/>
      <c r="D838" s="8"/>
      <c r="E838" s="8"/>
    </row>
    <row r="839" spans="1:5">
      <c r="A839" s="49"/>
      <c r="B839" s="8"/>
      <c r="C839" s="8"/>
      <c r="D839" s="8"/>
      <c r="E839" s="8"/>
    </row>
    <row r="840" spans="1:5">
      <c r="A840" s="49"/>
      <c r="B840" s="8"/>
      <c r="C840" s="8"/>
      <c r="D840" s="8"/>
      <c r="E840" s="8"/>
    </row>
    <row r="841" spans="1:5">
      <c r="A841" s="49"/>
      <c r="B841" s="8"/>
      <c r="C841" s="8"/>
      <c r="D841" s="8"/>
      <c r="E841" s="8"/>
    </row>
    <row r="842" spans="1:5">
      <c r="A842" s="49"/>
      <c r="B842" s="8"/>
      <c r="C842" s="8"/>
      <c r="D842" s="8"/>
      <c r="E842" s="8"/>
    </row>
    <row r="843" spans="1:5">
      <c r="A843" s="49"/>
      <c r="B843" s="8"/>
      <c r="C843" s="8"/>
      <c r="D843" s="8"/>
      <c r="E843" s="8"/>
    </row>
    <row r="844" spans="1:5">
      <c r="A844" s="49"/>
      <c r="B844" s="8"/>
      <c r="C844" s="8"/>
      <c r="D844" s="8"/>
      <c r="E844" s="8"/>
    </row>
    <row r="845" spans="1:5">
      <c r="A845" s="49"/>
      <c r="B845" s="8"/>
      <c r="C845" s="8"/>
      <c r="D845" s="8"/>
      <c r="E845" s="8"/>
    </row>
    <row r="846" spans="1:5">
      <c r="A846" s="49"/>
      <c r="B846" s="8"/>
      <c r="C846" s="8"/>
      <c r="D846" s="8"/>
      <c r="E846" s="8"/>
    </row>
    <row r="847" spans="1:5">
      <c r="A847" s="49"/>
      <c r="B847" s="8"/>
      <c r="C847" s="8"/>
      <c r="D847" s="8"/>
      <c r="E847" s="8"/>
    </row>
    <row r="848" spans="1:5">
      <c r="A848" s="49"/>
      <c r="B848" s="8"/>
      <c r="C848" s="8"/>
      <c r="D848" s="8"/>
      <c r="E848" s="8"/>
    </row>
    <row r="849" spans="1:5">
      <c r="A849" s="49"/>
      <c r="B849" s="8"/>
      <c r="C849" s="8"/>
      <c r="D849" s="8"/>
      <c r="E849" s="8"/>
    </row>
    <row r="850" spans="1:5">
      <c r="A850" s="49"/>
      <c r="B850" s="8"/>
      <c r="C850" s="8"/>
      <c r="D850" s="8"/>
      <c r="E850" s="8"/>
    </row>
    <row r="851" spans="1:5">
      <c r="A851" s="49"/>
      <c r="B851" s="8"/>
      <c r="C851" s="8"/>
      <c r="D851" s="8"/>
      <c r="E851" s="8"/>
    </row>
    <row r="852" spans="1:5">
      <c r="A852" s="49"/>
      <c r="B852" s="8"/>
      <c r="C852" s="8"/>
      <c r="D852" s="8"/>
      <c r="E852" s="8"/>
    </row>
    <row r="853" spans="1:5">
      <c r="A853" s="49"/>
      <c r="B853" s="8"/>
      <c r="C853" s="8"/>
      <c r="D853" s="8"/>
      <c r="E853" s="8"/>
    </row>
    <row r="854" spans="1:5">
      <c r="A854" s="49"/>
      <c r="B854" s="8"/>
      <c r="C854" s="8"/>
      <c r="D854" s="8"/>
      <c r="E854" s="8"/>
    </row>
    <row r="855" spans="1:5">
      <c r="A855" s="49"/>
      <c r="B855" s="8"/>
      <c r="C855" s="8"/>
      <c r="D855" s="8"/>
      <c r="E855" s="8"/>
    </row>
    <row r="856" spans="1:5">
      <c r="A856" s="49"/>
      <c r="B856" s="8"/>
      <c r="C856" s="8"/>
      <c r="D856" s="8"/>
      <c r="E856" s="8"/>
    </row>
    <row r="857" spans="1:5">
      <c r="A857" s="49"/>
      <c r="B857" s="8"/>
      <c r="C857" s="8"/>
      <c r="D857" s="8"/>
      <c r="E857" s="8"/>
    </row>
    <row r="858" spans="1:5">
      <c r="A858" s="49"/>
      <c r="B858" s="8"/>
      <c r="C858" s="8"/>
      <c r="D858" s="8"/>
      <c r="E858" s="8"/>
    </row>
    <row r="859" spans="1:5">
      <c r="A859" s="49"/>
      <c r="B859" s="8"/>
      <c r="C859" s="8"/>
      <c r="D859" s="8"/>
      <c r="E859" s="8"/>
    </row>
    <row r="860" spans="1:5">
      <c r="A860" s="49"/>
      <c r="B860" s="8"/>
      <c r="C860" s="8"/>
      <c r="D860" s="8"/>
      <c r="E860" s="8"/>
    </row>
    <row r="861" spans="1:5">
      <c r="A861" s="49"/>
      <c r="B861" s="8"/>
      <c r="C861" s="8"/>
      <c r="D861" s="8"/>
      <c r="E861" s="8"/>
    </row>
    <row r="862" spans="1:5">
      <c r="A862" s="49"/>
      <c r="B862" s="8"/>
      <c r="C862" s="8"/>
      <c r="D862" s="8"/>
      <c r="E862" s="8"/>
    </row>
    <row r="863" spans="1:5">
      <c r="A863" s="49"/>
      <c r="B863" s="8"/>
      <c r="C863" s="8"/>
      <c r="D863" s="8"/>
      <c r="E863" s="8"/>
    </row>
    <row r="864" spans="1:5">
      <c r="A864" s="49"/>
      <c r="B864" s="8"/>
      <c r="C864" s="8"/>
      <c r="D864" s="8"/>
      <c r="E864" s="8"/>
    </row>
    <row r="865" spans="1:5">
      <c r="A865" s="49"/>
      <c r="B865" s="8"/>
      <c r="C865" s="8"/>
      <c r="D865" s="8"/>
      <c r="E865" s="8"/>
    </row>
    <row r="866" spans="1:5">
      <c r="A866" s="49"/>
      <c r="B866" s="8"/>
      <c r="C866" s="8"/>
      <c r="D866" s="8"/>
      <c r="E866" s="8"/>
    </row>
    <row r="867" spans="1:5">
      <c r="A867" s="49"/>
      <c r="B867" s="8"/>
      <c r="C867" s="8"/>
      <c r="D867" s="8"/>
      <c r="E867" s="8"/>
    </row>
    <row r="868" spans="1:5">
      <c r="A868" s="49"/>
      <c r="B868" s="8"/>
      <c r="C868" s="8"/>
      <c r="D868" s="8"/>
      <c r="E868" s="8"/>
    </row>
    <row r="869" spans="1:5">
      <c r="A869" s="49"/>
      <c r="B869" s="8"/>
      <c r="C869" s="8"/>
      <c r="D869" s="8"/>
      <c r="E869" s="8"/>
    </row>
    <row r="870" spans="1:5">
      <c r="A870" s="49"/>
      <c r="B870" s="8"/>
      <c r="C870" s="8"/>
      <c r="D870" s="8"/>
      <c r="E870" s="8"/>
    </row>
    <row r="871" spans="1:5">
      <c r="A871" s="49"/>
      <c r="B871" s="8"/>
      <c r="C871" s="8"/>
      <c r="D871" s="8"/>
      <c r="E871" s="8"/>
    </row>
    <row r="872" spans="1:5">
      <c r="A872" s="49"/>
      <c r="B872" s="8"/>
      <c r="C872" s="8"/>
      <c r="D872" s="8"/>
      <c r="E872" s="8"/>
    </row>
    <row r="873" spans="1:5">
      <c r="A873" s="49"/>
      <c r="B873" s="8"/>
      <c r="C873" s="8"/>
      <c r="D873" s="8"/>
      <c r="E873" s="8"/>
    </row>
    <row r="874" spans="1:5">
      <c r="A874" s="49"/>
      <c r="B874" s="8"/>
      <c r="C874" s="8"/>
      <c r="D874" s="8"/>
      <c r="E874" s="8"/>
    </row>
    <row r="875" spans="1:5">
      <c r="A875" s="49"/>
      <c r="B875" s="8"/>
      <c r="C875" s="8"/>
      <c r="D875" s="8"/>
      <c r="E875" s="8"/>
    </row>
    <row r="876" spans="1:5">
      <c r="A876" s="49"/>
      <c r="B876" s="8"/>
      <c r="C876" s="8"/>
      <c r="D876" s="8"/>
      <c r="E876" s="8"/>
    </row>
    <row r="877" spans="1:5">
      <c r="A877" s="49"/>
      <c r="B877" s="8"/>
      <c r="C877" s="8"/>
      <c r="D877" s="8"/>
      <c r="E877" s="8"/>
    </row>
    <row r="878" spans="1:5">
      <c r="A878" s="49"/>
      <c r="B878" s="8"/>
      <c r="C878" s="8"/>
      <c r="D878" s="8"/>
      <c r="E878" s="8"/>
    </row>
    <row r="879" spans="1:5">
      <c r="A879" s="49"/>
      <c r="B879" s="8"/>
      <c r="C879" s="8"/>
      <c r="D879" s="8"/>
      <c r="E879" s="8"/>
    </row>
    <row r="880" spans="1:5">
      <c r="A880" s="49"/>
      <c r="B880" s="8"/>
      <c r="C880" s="8"/>
      <c r="D880" s="8"/>
      <c r="E880" s="8"/>
    </row>
    <row r="881" spans="1:5">
      <c r="A881" s="49"/>
      <c r="B881" s="8"/>
      <c r="C881" s="8"/>
      <c r="D881" s="8"/>
      <c r="E881" s="8"/>
    </row>
    <row r="882" spans="1:5">
      <c r="A882" s="49"/>
      <c r="B882" s="8"/>
      <c r="C882" s="8"/>
      <c r="D882" s="8"/>
      <c r="E882" s="8"/>
    </row>
    <row r="883" spans="1:5">
      <c r="A883" s="49"/>
      <c r="B883" s="8"/>
      <c r="C883" s="8"/>
      <c r="D883" s="8"/>
      <c r="E883" s="8"/>
    </row>
    <row r="884" spans="1:5">
      <c r="A884" s="49"/>
      <c r="B884" s="8"/>
      <c r="C884" s="8"/>
      <c r="D884" s="8"/>
      <c r="E884" s="8"/>
    </row>
    <row r="885" spans="1:5">
      <c r="A885" s="49"/>
      <c r="B885" s="8"/>
      <c r="C885" s="8"/>
      <c r="D885" s="8"/>
      <c r="E885" s="8"/>
    </row>
    <row r="886" spans="1:5">
      <c r="A886" s="49"/>
      <c r="B886" s="8"/>
      <c r="C886" s="8"/>
      <c r="D886" s="8"/>
      <c r="E886" s="8"/>
    </row>
    <row r="887" spans="1:5">
      <c r="A887" s="49"/>
      <c r="B887" s="8"/>
      <c r="C887" s="8"/>
      <c r="D887" s="8"/>
      <c r="E887" s="8"/>
    </row>
    <row r="888" spans="1:5">
      <c r="A888" s="49"/>
      <c r="B888" s="8"/>
      <c r="C888" s="8"/>
      <c r="D888" s="8"/>
      <c r="E888" s="8"/>
    </row>
    <row r="889" spans="1:5">
      <c r="A889" s="49"/>
      <c r="B889" s="8"/>
      <c r="C889" s="8"/>
      <c r="D889" s="8"/>
      <c r="E889" s="8"/>
    </row>
    <row r="890" spans="1:5">
      <c r="A890" s="49"/>
      <c r="B890" s="8"/>
      <c r="C890" s="8"/>
      <c r="D890" s="8"/>
      <c r="E890" s="8"/>
    </row>
    <row r="891" spans="1:5">
      <c r="A891" s="49"/>
      <c r="B891" s="8"/>
      <c r="C891" s="8"/>
      <c r="D891" s="8"/>
      <c r="E891" s="8"/>
    </row>
    <row r="892" spans="1:5">
      <c r="A892" s="49"/>
      <c r="B892" s="8"/>
      <c r="C892" s="8"/>
      <c r="D892" s="8"/>
      <c r="E892" s="8"/>
    </row>
    <row r="893" spans="1:5">
      <c r="A893" s="49"/>
      <c r="B893" s="8"/>
      <c r="C893" s="8"/>
      <c r="D893" s="8"/>
      <c r="E893" s="8"/>
    </row>
    <row r="894" spans="1:5">
      <c r="A894" s="49"/>
      <c r="B894" s="8"/>
      <c r="C894" s="8"/>
      <c r="D894" s="8"/>
      <c r="E894" s="8"/>
    </row>
    <row r="895" spans="1:5">
      <c r="A895" s="49"/>
      <c r="B895" s="8"/>
      <c r="C895" s="8"/>
      <c r="D895" s="8"/>
      <c r="E895" s="8"/>
    </row>
    <row r="896" spans="1:5">
      <c r="A896" s="49"/>
      <c r="B896" s="8"/>
      <c r="C896" s="8"/>
      <c r="D896" s="8"/>
      <c r="E896" s="8"/>
    </row>
    <row r="897" spans="1:5">
      <c r="A897" s="49"/>
      <c r="B897" s="8"/>
      <c r="C897" s="8"/>
      <c r="D897" s="8"/>
      <c r="E897" s="8"/>
    </row>
    <row r="898" spans="1:5">
      <c r="A898" s="49"/>
      <c r="B898" s="8"/>
      <c r="C898" s="8"/>
      <c r="D898" s="8"/>
      <c r="E898" s="8"/>
    </row>
    <row r="899" spans="1:5">
      <c r="A899" s="49"/>
      <c r="B899" s="8"/>
      <c r="C899" s="8"/>
      <c r="D899" s="8"/>
      <c r="E899" s="8"/>
    </row>
    <row r="900" spans="1:5">
      <c r="A900" s="49"/>
      <c r="B900" s="8"/>
      <c r="C900" s="8"/>
      <c r="D900" s="8"/>
      <c r="E900" s="8"/>
    </row>
    <row r="901" spans="1:5">
      <c r="A901" s="49"/>
      <c r="B901" s="8"/>
      <c r="C901" s="8"/>
      <c r="D901" s="8"/>
      <c r="E901" s="8"/>
    </row>
    <row r="902" spans="1:5">
      <c r="A902" s="49"/>
      <c r="B902" s="8"/>
      <c r="C902" s="8"/>
      <c r="D902" s="8"/>
      <c r="E902" s="8"/>
    </row>
    <row r="903" spans="1:5">
      <c r="A903" s="49"/>
      <c r="B903" s="8"/>
      <c r="C903" s="8"/>
      <c r="D903" s="8"/>
      <c r="E903" s="8"/>
    </row>
    <row r="904" spans="1:5">
      <c r="A904" s="49"/>
      <c r="B904" s="8"/>
      <c r="C904" s="8"/>
      <c r="D904" s="8"/>
      <c r="E904" s="8"/>
    </row>
    <row r="905" spans="1:5">
      <c r="A905" s="49"/>
      <c r="B905" s="8"/>
      <c r="C905" s="8"/>
      <c r="D905" s="8"/>
      <c r="E905" s="8"/>
    </row>
    <row r="906" spans="1:5">
      <c r="A906" s="49"/>
      <c r="B906" s="8"/>
      <c r="C906" s="8"/>
      <c r="D906" s="8"/>
      <c r="E906" s="8"/>
    </row>
    <row r="907" spans="1:5">
      <c r="A907" s="49"/>
      <c r="B907" s="8"/>
      <c r="C907" s="8"/>
      <c r="D907" s="8"/>
      <c r="E907" s="8"/>
    </row>
    <row r="908" spans="1:5">
      <c r="A908" s="49"/>
      <c r="B908" s="8"/>
      <c r="C908" s="8"/>
      <c r="D908" s="8"/>
      <c r="E908" s="8"/>
    </row>
    <row r="909" spans="1:5">
      <c r="A909" s="49"/>
      <c r="B909" s="8"/>
      <c r="C909" s="8"/>
      <c r="D909" s="8"/>
      <c r="E909" s="8"/>
    </row>
    <row r="910" spans="1:5">
      <c r="A910" s="49"/>
      <c r="B910" s="8"/>
      <c r="C910" s="8"/>
      <c r="D910" s="8"/>
      <c r="E910" s="8"/>
    </row>
    <row r="911" spans="1:5">
      <c r="A911" s="49"/>
      <c r="B911" s="8"/>
      <c r="C911" s="8"/>
      <c r="D911" s="8"/>
      <c r="E911" s="8"/>
    </row>
    <row r="912" spans="1:5">
      <c r="A912" s="49"/>
      <c r="B912" s="8"/>
      <c r="C912" s="8"/>
      <c r="D912" s="8"/>
      <c r="E912" s="8"/>
    </row>
    <row r="913" spans="1:5">
      <c r="A913" s="49"/>
      <c r="B913" s="8"/>
      <c r="C913" s="8"/>
      <c r="D913" s="8"/>
      <c r="E913" s="8"/>
    </row>
    <row r="914" spans="1:5">
      <c r="A914" s="49"/>
      <c r="B914" s="8"/>
      <c r="C914" s="8"/>
      <c r="D914" s="8"/>
      <c r="E914" s="8"/>
    </row>
    <row r="915" spans="1:5">
      <c r="A915" s="49"/>
      <c r="B915" s="8"/>
      <c r="C915" s="8"/>
      <c r="D915" s="8"/>
      <c r="E915" s="8"/>
    </row>
    <row r="916" spans="1:5">
      <c r="A916" s="49"/>
      <c r="B916" s="8"/>
      <c r="C916" s="8"/>
      <c r="D916" s="8"/>
      <c r="E916" s="8"/>
    </row>
    <row r="917" spans="1:5">
      <c r="A917" s="49"/>
      <c r="B917" s="8"/>
      <c r="C917" s="8"/>
      <c r="D917" s="8"/>
      <c r="E917" s="8"/>
    </row>
    <row r="918" spans="1:5">
      <c r="A918" s="49"/>
      <c r="B918" s="8"/>
      <c r="C918" s="8"/>
      <c r="D918" s="8"/>
      <c r="E918" s="8"/>
    </row>
    <row r="919" spans="1:5">
      <c r="A919" s="49"/>
      <c r="B919" s="8"/>
      <c r="C919" s="8"/>
      <c r="D919" s="8"/>
      <c r="E919" s="8"/>
    </row>
    <row r="920" spans="1:5">
      <c r="A920" s="49"/>
      <c r="B920" s="8"/>
      <c r="C920" s="8"/>
      <c r="D920" s="8"/>
      <c r="E920" s="8"/>
    </row>
    <row r="921" spans="1:5">
      <c r="A921" s="49"/>
      <c r="B921" s="8"/>
      <c r="C921" s="8"/>
      <c r="D921" s="8"/>
      <c r="E921" s="8"/>
    </row>
  </sheetData>
  <autoFilter ref="A5:K765"/>
  <mergeCells count="4">
    <mergeCell ref="A4:K4"/>
    <mergeCell ref="A1:H1"/>
    <mergeCell ref="A2:K2"/>
    <mergeCell ref="A767:C767"/>
  </mergeCells>
  <phoneticPr fontId="2" type="noConversion"/>
  <pageMargins left="0.39370078740157483" right="0.39370078740157483" top="0.39370078740157483" bottom="0.39370078740157483" header="0.39370078740157483" footer="0"/>
  <pageSetup paperSize="9" scale="85" orientation="landscape" useFirstPageNumber="1" r:id="rId1"/>
  <headerFooter alignWithMargins="0">
    <oddFooter>&amp;C&amp;P</oddFooter>
  </headerFooter>
  <rowBreaks count="5" manualBreakCount="5">
    <brk id="33" max="10" man="1"/>
    <brk id="182" max="10" man="1"/>
    <brk id="454" max="10" man="1"/>
    <brk id="624" max="10" man="1"/>
    <brk id="66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50"/>
  </sheetPr>
  <dimension ref="A1:I1036"/>
  <sheetViews>
    <sheetView view="pageBreakPreview" zoomScale="140" zoomScaleNormal="120" zoomScaleSheetLayoutView="140" workbookViewId="0">
      <selection activeCell="I9" sqref="I9"/>
    </sheetView>
  </sheetViews>
  <sheetFormatPr defaultRowHeight="12.75"/>
  <cols>
    <col min="1" max="1" width="61.140625" style="7" customWidth="1"/>
    <col min="2" max="2" width="13.28515625" style="7" customWidth="1"/>
    <col min="3" max="3" width="8.7109375" style="8" customWidth="1"/>
    <col min="4" max="4" width="8" style="8" customWidth="1"/>
    <col min="5" max="5" width="7.5703125" style="8" customWidth="1"/>
    <col min="6" max="6" width="15.28515625" customWidth="1"/>
    <col min="7" max="7" width="14.140625" customWidth="1"/>
    <col min="8" max="8" width="12.7109375" customWidth="1"/>
  </cols>
  <sheetData>
    <row r="1" spans="1:9" ht="12.75" customHeight="1">
      <c r="A1" s="268" t="s">
        <v>781</v>
      </c>
      <c r="B1" s="268"/>
      <c r="C1" s="268"/>
      <c r="D1" s="268"/>
      <c r="E1" s="268"/>
      <c r="F1" s="268"/>
      <c r="G1" s="268"/>
      <c r="H1" s="268"/>
      <c r="I1" s="268"/>
    </row>
    <row r="2" spans="1:9">
      <c r="A2" s="268"/>
      <c r="B2" s="268"/>
      <c r="C2" s="268"/>
      <c r="D2" s="268"/>
      <c r="E2" s="268"/>
      <c r="F2" s="268"/>
      <c r="G2" s="268"/>
      <c r="H2" s="268"/>
      <c r="I2" s="268"/>
    </row>
    <row r="3" spans="1:9" ht="14.25">
      <c r="A3" s="269" t="s">
        <v>693</v>
      </c>
      <c r="B3" s="269"/>
      <c r="C3" s="269"/>
      <c r="D3" s="269"/>
      <c r="E3" s="269"/>
      <c r="F3" s="269"/>
      <c r="G3" s="269"/>
      <c r="H3" s="269"/>
      <c r="I3" s="269"/>
    </row>
    <row r="4" spans="1:9">
      <c r="A4" s="270" t="s">
        <v>470</v>
      </c>
      <c r="B4" s="270"/>
      <c r="C4" s="270"/>
      <c r="D4" s="270"/>
      <c r="E4" s="270"/>
      <c r="F4" s="270"/>
      <c r="G4" s="270"/>
      <c r="H4" s="270"/>
      <c r="I4" s="270"/>
    </row>
    <row r="5" spans="1:9" ht="38.25">
      <c r="A5" s="9" t="s">
        <v>110</v>
      </c>
      <c r="B5" s="10" t="s">
        <v>438</v>
      </c>
      <c r="C5" s="10" t="s">
        <v>33</v>
      </c>
      <c r="D5" s="10" t="s">
        <v>32</v>
      </c>
      <c r="E5" s="10" t="s">
        <v>112</v>
      </c>
      <c r="F5" s="57" t="s">
        <v>778</v>
      </c>
      <c r="G5" s="224" t="s">
        <v>779</v>
      </c>
      <c r="H5" s="224" t="s">
        <v>783</v>
      </c>
      <c r="I5" s="3" t="s">
        <v>782</v>
      </c>
    </row>
    <row r="6" spans="1:9" s="11" customFormat="1" ht="15.75">
      <c r="A6" s="61" t="s">
        <v>439</v>
      </c>
      <c r="B6" s="62"/>
      <c r="C6" s="100"/>
      <c r="D6" s="100"/>
      <c r="E6" s="63"/>
      <c r="F6" s="201">
        <f>F7+F61+F67+F149+F238+F264+F271+F392+F473+F603+F700+F734+F741+F752</f>
        <v>5858489.7626499999</v>
      </c>
      <c r="G6" s="201">
        <f>G7+G61+G67+G149+G238+G264+G271+G392+G473+G603+G700+G734+G741+G752</f>
        <v>4136150.7310199998</v>
      </c>
      <c r="H6" s="201">
        <f>H7+H61+H67+H149+H238+H264+H271+H392+H473+H603+H700+H734+H741+H752</f>
        <v>5546058.972099999</v>
      </c>
      <c r="I6" s="201">
        <f>H6/F6*100</f>
        <v>94.667042135298061</v>
      </c>
    </row>
    <row r="7" spans="1:9" s="99" customFormat="1" ht="40.5">
      <c r="A7" s="131" t="s">
        <v>541</v>
      </c>
      <c r="B7" s="185" t="s">
        <v>218</v>
      </c>
      <c r="C7" s="132"/>
      <c r="D7" s="132"/>
      <c r="E7" s="186"/>
      <c r="F7" s="187">
        <f>F8+F19+F50</f>
        <v>38642.9</v>
      </c>
      <c r="G7" s="187">
        <f t="shared" ref="G7:H7" si="0">G8+G19+G50</f>
        <v>24400.47306</v>
      </c>
      <c r="H7" s="187">
        <f t="shared" si="0"/>
        <v>38642.9</v>
      </c>
      <c r="I7" s="187">
        <f>H7/F7*100</f>
        <v>100</v>
      </c>
    </row>
    <row r="8" spans="1:9" s="99" customFormat="1" ht="27">
      <c r="A8" s="148" t="s">
        <v>542</v>
      </c>
      <c r="B8" s="149" t="s">
        <v>176</v>
      </c>
      <c r="C8" s="114"/>
      <c r="D8" s="114"/>
      <c r="E8" s="147"/>
      <c r="F8" s="115">
        <f>F9+F14</f>
        <v>25382</v>
      </c>
      <c r="G8" s="115">
        <f t="shared" ref="G8:H8" si="1">G9+G14</f>
        <v>19418.2</v>
      </c>
      <c r="H8" s="115">
        <f t="shared" si="1"/>
        <v>25382</v>
      </c>
      <c r="I8" s="115">
        <f>H8/F8*100</f>
        <v>100</v>
      </c>
    </row>
    <row r="9" spans="1:9" s="99" customFormat="1" ht="24">
      <c r="A9" s="110" t="s">
        <v>543</v>
      </c>
      <c r="B9" s="142" t="s">
        <v>129</v>
      </c>
      <c r="C9" s="111"/>
      <c r="D9" s="111"/>
      <c r="E9" s="150"/>
      <c r="F9" s="134">
        <f>F10</f>
        <v>7140</v>
      </c>
      <c r="G9" s="134">
        <f t="shared" ref="G9:H12" si="2">G10</f>
        <v>5950</v>
      </c>
      <c r="H9" s="134">
        <f t="shared" si="2"/>
        <v>7140</v>
      </c>
      <c r="I9" s="112">
        <f t="shared" ref="I9:I71" si="3">H9/F9*100</f>
        <v>100</v>
      </c>
    </row>
    <row r="10" spans="1:9" s="99" customFormat="1" ht="12">
      <c r="A10" s="64" t="s">
        <v>114</v>
      </c>
      <c r="B10" s="142" t="s">
        <v>129</v>
      </c>
      <c r="C10" s="111" t="s">
        <v>76</v>
      </c>
      <c r="D10" s="111"/>
      <c r="E10" s="150"/>
      <c r="F10" s="134">
        <f>F11</f>
        <v>7140</v>
      </c>
      <c r="G10" s="134">
        <f t="shared" si="2"/>
        <v>5950</v>
      </c>
      <c r="H10" s="134">
        <f t="shared" si="2"/>
        <v>7140</v>
      </c>
      <c r="I10" s="112">
        <f t="shared" si="3"/>
        <v>100</v>
      </c>
    </row>
    <row r="11" spans="1:9" s="99" customFormat="1" ht="12">
      <c r="A11" s="64" t="s">
        <v>427</v>
      </c>
      <c r="B11" s="142" t="s">
        <v>129</v>
      </c>
      <c r="C11" s="111" t="s">
        <v>76</v>
      </c>
      <c r="D11" s="111" t="s">
        <v>93</v>
      </c>
      <c r="E11" s="150"/>
      <c r="F11" s="134">
        <f>F12</f>
        <v>7140</v>
      </c>
      <c r="G11" s="134">
        <f t="shared" si="2"/>
        <v>5950</v>
      </c>
      <c r="H11" s="134">
        <f t="shared" si="2"/>
        <v>7140</v>
      </c>
      <c r="I11" s="112">
        <f t="shared" si="3"/>
        <v>100</v>
      </c>
    </row>
    <row r="12" spans="1:9" s="99" customFormat="1" ht="12">
      <c r="A12" s="119" t="s">
        <v>301</v>
      </c>
      <c r="B12" s="130" t="s">
        <v>129</v>
      </c>
      <c r="C12" s="120" t="s">
        <v>76</v>
      </c>
      <c r="D12" s="120" t="s">
        <v>93</v>
      </c>
      <c r="E12" s="137">
        <v>200</v>
      </c>
      <c r="F12" s="135">
        <f>F13</f>
        <v>7140</v>
      </c>
      <c r="G12" s="135">
        <f t="shared" si="2"/>
        <v>5950</v>
      </c>
      <c r="H12" s="135">
        <f t="shared" si="2"/>
        <v>7140</v>
      </c>
      <c r="I12" s="121">
        <f t="shared" si="3"/>
        <v>100</v>
      </c>
    </row>
    <row r="13" spans="1:9" s="99" customFormat="1" ht="24">
      <c r="A13" s="119" t="s">
        <v>85</v>
      </c>
      <c r="B13" s="130" t="s">
        <v>129</v>
      </c>
      <c r="C13" s="120" t="s">
        <v>76</v>
      </c>
      <c r="D13" s="120" t="s">
        <v>93</v>
      </c>
      <c r="E13" s="137">
        <v>240</v>
      </c>
      <c r="F13" s="135">
        <v>7140</v>
      </c>
      <c r="G13" s="135">
        <v>5950</v>
      </c>
      <c r="H13" s="135">
        <v>7140</v>
      </c>
      <c r="I13" s="121">
        <f t="shared" si="3"/>
        <v>100</v>
      </c>
    </row>
    <row r="14" spans="1:9" s="99" customFormat="1" ht="24">
      <c r="A14" s="110" t="s">
        <v>544</v>
      </c>
      <c r="B14" s="142" t="s">
        <v>545</v>
      </c>
      <c r="C14" s="111"/>
      <c r="D14" s="111"/>
      <c r="E14" s="150"/>
      <c r="F14" s="134">
        <f>F15</f>
        <v>18242</v>
      </c>
      <c r="G14" s="134">
        <f t="shared" ref="G14:H17" si="4">G15</f>
        <v>13468.2</v>
      </c>
      <c r="H14" s="134">
        <f t="shared" si="4"/>
        <v>18242</v>
      </c>
      <c r="I14" s="112">
        <f t="shared" si="3"/>
        <v>100</v>
      </c>
    </row>
    <row r="15" spans="1:9" s="99" customFormat="1" ht="12">
      <c r="A15" s="64" t="s">
        <v>114</v>
      </c>
      <c r="B15" s="142" t="s">
        <v>545</v>
      </c>
      <c r="C15" s="111" t="s">
        <v>76</v>
      </c>
      <c r="D15" s="111"/>
      <c r="E15" s="150"/>
      <c r="F15" s="134">
        <f>F16</f>
        <v>18242</v>
      </c>
      <c r="G15" s="134">
        <f t="shared" si="4"/>
        <v>13468.2</v>
      </c>
      <c r="H15" s="134">
        <f t="shared" si="4"/>
        <v>18242</v>
      </c>
      <c r="I15" s="112">
        <f t="shared" si="3"/>
        <v>100</v>
      </c>
    </row>
    <row r="16" spans="1:9" s="99" customFormat="1" ht="12">
      <c r="A16" s="64" t="s">
        <v>427</v>
      </c>
      <c r="B16" s="142" t="s">
        <v>545</v>
      </c>
      <c r="C16" s="111" t="s">
        <v>76</v>
      </c>
      <c r="D16" s="111" t="s">
        <v>93</v>
      </c>
      <c r="E16" s="150"/>
      <c r="F16" s="134">
        <f>F17</f>
        <v>18242</v>
      </c>
      <c r="G16" s="134">
        <f t="shared" si="4"/>
        <v>13468.2</v>
      </c>
      <c r="H16" s="134">
        <f t="shared" si="4"/>
        <v>18242</v>
      </c>
      <c r="I16" s="112">
        <f t="shared" si="3"/>
        <v>100</v>
      </c>
    </row>
    <row r="17" spans="1:9" s="99" customFormat="1" ht="12">
      <c r="A17" s="119" t="s">
        <v>301</v>
      </c>
      <c r="B17" s="130" t="s">
        <v>545</v>
      </c>
      <c r="C17" s="120" t="s">
        <v>76</v>
      </c>
      <c r="D17" s="120" t="s">
        <v>93</v>
      </c>
      <c r="E17" s="137">
        <v>200</v>
      </c>
      <c r="F17" s="135">
        <f>F18</f>
        <v>18242</v>
      </c>
      <c r="G17" s="135">
        <f t="shared" si="4"/>
        <v>13468.2</v>
      </c>
      <c r="H17" s="135">
        <f t="shared" si="4"/>
        <v>18242</v>
      </c>
      <c r="I17" s="121">
        <f t="shared" si="3"/>
        <v>100</v>
      </c>
    </row>
    <row r="18" spans="1:9" s="99" customFormat="1" ht="24">
      <c r="A18" s="119" t="s">
        <v>85</v>
      </c>
      <c r="B18" s="130" t="s">
        <v>545</v>
      </c>
      <c r="C18" s="120" t="s">
        <v>76</v>
      </c>
      <c r="D18" s="120" t="s">
        <v>93</v>
      </c>
      <c r="E18" s="137">
        <v>240</v>
      </c>
      <c r="F18" s="135">
        <v>18242</v>
      </c>
      <c r="G18" s="135">
        <v>13468.2</v>
      </c>
      <c r="H18" s="135">
        <v>18242</v>
      </c>
      <c r="I18" s="121">
        <f t="shared" si="3"/>
        <v>100</v>
      </c>
    </row>
    <row r="19" spans="1:9" s="99" customFormat="1" ht="27">
      <c r="A19" s="148" t="s">
        <v>58</v>
      </c>
      <c r="B19" s="149" t="s">
        <v>251</v>
      </c>
      <c r="C19" s="114"/>
      <c r="D19" s="114"/>
      <c r="E19" s="147"/>
      <c r="F19" s="115">
        <f>F20+F25+F30+F35+F40+F45</f>
        <v>10560.9</v>
      </c>
      <c r="G19" s="115">
        <f t="shared" ref="G19:H19" si="5">G20+G25+G30+G35+G40+G45</f>
        <v>4982.2730599999995</v>
      </c>
      <c r="H19" s="115">
        <f t="shared" si="5"/>
        <v>10560.9</v>
      </c>
      <c r="I19" s="115">
        <f t="shared" si="3"/>
        <v>100</v>
      </c>
    </row>
    <row r="20" spans="1:9" s="99" customFormat="1" ht="12">
      <c r="A20" s="141" t="s">
        <v>546</v>
      </c>
      <c r="B20" s="142" t="s">
        <v>547</v>
      </c>
      <c r="C20" s="111"/>
      <c r="D20" s="111"/>
      <c r="E20" s="150"/>
      <c r="F20" s="112">
        <f>F21</f>
        <v>1206.9000000000001</v>
      </c>
      <c r="G20" s="112">
        <f t="shared" ref="G20:H23" si="6">G21</f>
        <v>943.67857000000004</v>
      </c>
      <c r="H20" s="112">
        <f t="shared" si="6"/>
        <v>1206.9000000000001</v>
      </c>
      <c r="I20" s="112">
        <f t="shared" si="3"/>
        <v>100</v>
      </c>
    </row>
    <row r="21" spans="1:9" s="99" customFormat="1" ht="12">
      <c r="A21" s="64" t="s">
        <v>114</v>
      </c>
      <c r="B21" s="142" t="s">
        <v>547</v>
      </c>
      <c r="C21" s="111" t="s">
        <v>76</v>
      </c>
      <c r="D21" s="111"/>
      <c r="E21" s="150"/>
      <c r="F21" s="134">
        <f>F22</f>
        <v>1206.9000000000001</v>
      </c>
      <c r="G21" s="134">
        <f t="shared" si="6"/>
        <v>943.67857000000004</v>
      </c>
      <c r="H21" s="134">
        <f t="shared" si="6"/>
        <v>1206.9000000000001</v>
      </c>
      <c r="I21" s="112">
        <f t="shared" si="3"/>
        <v>100</v>
      </c>
    </row>
    <row r="22" spans="1:9" s="99" customFormat="1" ht="12">
      <c r="A22" s="64" t="s">
        <v>427</v>
      </c>
      <c r="B22" s="142" t="s">
        <v>547</v>
      </c>
      <c r="C22" s="111" t="s">
        <v>76</v>
      </c>
      <c r="D22" s="111" t="s">
        <v>93</v>
      </c>
      <c r="E22" s="150"/>
      <c r="F22" s="134">
        <f>F23</f>
        <v>1206.9000000000001</v>
      </c>
      <c r="G22" s="134">
        <f t="shared" si="6"/>
        <v>943.67857000000004</v>
      </c>
      <c r="H22" s="134">
        <f t="shared" si="6"/>
        <v>1206.9000000000001</v>
      </c>
      <c r="I22" s="112">
        <f t="shared" si="3"/>
        <v>100</v>
      </c>
    </row>
    <row r="23" spans="1:9" s="99" customFormat="1" ht="12">
      <c r="A23" s="119" t="s">
        <v>301</v>
      </c>
      <c r="B23" s="130" t="s">
        <v>547</v>
      </c>
      <c r="C23" s="120" t="s">
        <v>76</v>
      </c>
      <c r="D23" s="120" t="s">
        <v>93</v>
      </c>
      <c r="E23" s="137">
        <v>200</v>
      </c>
      <c r="F23" s="121">
        <f>F24</f>
        <v>1206.9000000000001</v>
      </c>
      <c r="G23" s="121">
        <f t="shared" si="6"/>
        <v>943.67857000000004</v>
      </c>
      <c r="H23" s="121">
        <f t="shared" si="6"/>
        <v>1206.9000000000001</v>
      </c>
      <c r="I23" s="121">
        <f t="shared" si="3"/>
        <v>100</v>
      </c>
    </row>
    <row r="24" spans="1:9" s="99" customFormat="1" ht="24">
      <c r="A24" s="119" t="s">
        <v>85</v>
      </c>
      <c r="B24" s="130" t="s">
        <v>547</v>
      </c>
      <c r="C24" s="120" t="s">
        <v>76</v>
      </c>
      <c r="D24" s="120" t="s">
        <v>93</v>
      </c>
      <c r="E24" s="137">
        <v>240</v>
      </c>
      <c r="F24" s="121">
        <f>906.9+300</f>
        <v>1206.9000000000001</v>
      </c>
      <c r="G24" s="121">
        <v>943.67857000000004</v>
      </c>
      <c r="H24" s="121">
        <f>906.9+300</f>
        <v>1206.9000000000001</v>
      </c>
      <c r="I24" s="121">
        <f t="shared" si="3"/>
        <v>100</v>
      </c>
    </row>
    <row r="25" spans="1:9" s="99" customFormat="1" ht="36">
      <c r="A25" s="141" t="s">
        <v>548</v>
      </c>
      <c r="B25" s="142" t="s">
        <v>549</v>
      </c>
      <c r="C25" s="111"/>
      <c r="D25" s="111"/>
      <c r="E25" s="137"/>
      <c r="F25" s="112">
        <f>F26</f>
        <v>1540</v>
      </c>
      <c r="G25" s="112">
        <f t="shared" ref="G25:H28" si="7">G26</f>
        <v>502.36549000000002</v>
      </c>
      <c r="H25" s="112">
        <f t="shared" si="7"/>
        <v>1540</v>
      </c>
      <c r="I25" s="112">
        <f t="shared" si="3"/>
        <v>100</v>
      </c>
    </row>
    <row r="26" spans="1:9" s="99" customFormat="1" ht="12">
      <c r="A26" s="64" t="s">
        <v>114</v>
      </c>
      <c r="B26" s="142" t="s">
        <v>549</v>
      </c>
      <c r="C26" s="111" t="s">
        <v>76</v>
      </c>
      <c r="D26" s="111"/>
      <c r="E26" s="150"/>
      <c r="F26" s="134">
        <f>F27</f>
        <v>1540</v>
      </c>
      <c r="G26" s="134">
        <f t="shared" si="7"/>
        <v>502.36549000000002</v>
      </c>
      <c r="H26" s="134">
        <f t="shared" si="7"/>
        <v>1540</v>
      </c>
      <c r="I26" s="112">
        <f t="shared" si="3"/>
        <v>100</v>
      </c>
    </row>
    <row r="27" spans="1:9" s="99" customFormat="1" ht="12">
      <c r="A27" s="64" t="s">
        <v>427</v>
      </c>
      <c r="B27" s="142" t="s">
        <v>549</v>
      </c>
      <c r="C27" s="111" t="s">
        <v>76</v>
      </c>
      <c r="D27" s="111" t="s">
        <v>93</v>
      </c>
      <c r="E27" s="150"/>
      <c r="F27" s="134">
        <f>F28</f>
        <v>1540</v>
      </c>
      <c r="G27" s="134">
        <f t="shared" si="7"/>
        <v>502.36549000000002</v>
      </c>
      <c r="H27" s="134">
        <f t="shared" si="7"/>
        <v>1540</v>
      </c>
      <c r="I27" s="112">
        <f t="shared" si="3"/>
        <v>100</v>
      </c>
    </row>
    <row r="28" spans="1:9" s="99" customFormat="1" ht="12">
      <c r="A28" s="119" t="s">
        <v>301</v>
      </c>
      <c r="B28" s="130" t="s">
        <v>549</v>
      </c>
      <c r="C28" s="120" t="s">
        <v>76</v>
      </c>
      <c r="D28" s="120" t="s">
        <v>93</v>
      </c>
      <c r="E28" s="137">
        <v>200</v>
      </c>
      <c r="F28" s="121">
        <f>F29</f>
        <v>1540</v>
      </c>
      <c r="G28" s="121">
        <f t="shared" si="7"/>
        <v>502.36549000000002</v>
      </c>
      <c r="H28" s="121">
        <f t="shared" si="7"/>
        <v>1540</v>
      </c>
      <c r="I28" s="121">
        <f t="shared" si="3"/>
        <v>100</v>
      </c>
    </row>
    <row r="29" spans="1:9" s="99" customFormat="1" ht="24">
      <c r="A29" s="119" t="s">
        <v>85</v>
      </c>
      <c r="B29" s="130" t="s">
        <v>549</v>
      </c>
      <c r="C29" s="120" t="s">
        <v>76</v>
      </c>
      <c r="D29" s="120" t="s">
        <v>93</v>
      </c>
      <c r="E29" s="137">
        <v>240</v>
      </c>
      <c r="F29" s="121">
        <v>1540</v>
      </c>
      <c r="G29" s="121">
        <v>502.36549000000002</v>
      </c>
      <c r="H29" s="121">
        <v>1540</v>
      </c>
      <c r="I29" s="121">
        <f t="shared" si="3"/>
        <v>100</v>
      </c>
    </row>
    <row r="30" spans="1:9" s="99" customFormat="1" ht="24">
      <c r="A30" s="141" t="s">
        <v>550</v>
      </c>
      <c r="B30" s="142" t="s">
        <v>551</v>
      </c>
      <c r="C30" s="111"/>
      <c r="D30" s="111"/>
      <c r="E30" s="137"/>
      <c r="F30" s="112">
        <f>F31</f>
        <v>3864</v>
      </c>
      <c r="G30" s="112">
        <f t="shared" ref="G30:H33" si="8">G31</f>
        <v>1999.4079999999999</v>
      </c>
      <c r="H30" s="112">
        <f t="shared" si="8"/>
        <v>3864</v>
      </c>
      <c r="I30" s="112">
        <f t="shared" si="3"/>
        <v>100</v>
      </c>
    </row>
    <row r="31" spans="1:9" s="99" customFormat="1" ht="12">
      <c r="A31" s="64" t="s">
        <v>114</v>
      </c>
      <c r="B31" s="142" t="s">
        <v>551</v>
      </c>
      <c r="C31" s="111" t="s">
        <v>76</v>
      </c>
      <c r="D31" s="111"/>
      <c r="E31" s="150"/>
      <c r="F31" s="134">
        <f>F32</f>
        <v>3864</v>
      </c>
      <c r="G31" s="134">
        <f t="shared" si="8"/>
        <v>1999.4079999999999</v>
      </c>
      <c r="H31" s="134">
        <f t="shared" si="8"/>
        <v>3864</v>
      </c>
      <c r="I31" s="112">
        <f t="shared" si="3"/>
        <v>100</v>
      </c>
    </row>
    <row r="32" spans="1:9" s="99" customFormat="1" ht="12">
      <c r="A32" s="64" t="s">
        <v>427</v>
      </c>
      <c r="B32" s="142" t="s">
        <v>551</v>
      </c>
      <c r="C32" s="111" t="s">
        <v>76</v>
      </c>
      <c r="D32" s="111" t="s">
        <v>93</v>
      </c>
      <c r="E32" s="150"/>
      <c r="F32" s="134">
        <f>F33</f>
        <v>3864</v>
      </c>
      <c r="G32" s="134">
        <f t="shared" si="8"/>
        <v>1999.4079999999999</v>
      </c>
      <c r="H32" s="134">
        <f t="shared" si="8"/>
        <v>3864</v>
      </c>
      <c r="I32" s="112">
        <f t="shared" si="3"/>
        <v>100</v>
      </c>
    </row>
    <row r="33" spans="1:9" s="99" customFormat="1" ht="12">
      <c r="A33" s="119" t="s">
        <v>301</v>
      </c>
      <c r="B33" s="130" t="s">
        <v>551</v>
      </c>
      <c r="C33" s="120" t="s">
        <v>76</v>
      </c>
      <c r="D33" s="120" t="s">
        <v>93</v>
      </c>
      <c r="E33" s="137">
        <v>200</v>
      </c>
      <c r="F33" s="121">
        <f>F34</f>
        <v>3864</v>
      </c>
      <c r="G33" s="121">
        <f t="shared" si="8"/>
        <v>1999.4079999999999</v>
      </c>
      <c r="H33" s="121">
        <f t="shared" si="8"/>
        <v>3864</v>
      </c>
      <c r="I33" s="121">
        <f t="shared" si="3"/>
        <v>100</v>
      </c>
    </row>
    <row r="34" spans="1:9" s="99" customFormat="1" ht="24">
      <c r="A34" s="119" t="s">
        <v>85</v>
      </c>
      <c r="B34" s="130" t="s">
        <v>551</v>
      </c>
      <c r="C34" s="120" t="s">
        <v>76</v>
      </c>
      <c r="D34" s="120" t="s">
        <v>93</v>
      </c>
      <c r="E34" s="137">
        <v>240</v>
      </c>
      <c r="F34" s="121">
        <f>4164-300</f>
        <v>3864</v>
      </c>
      <c r="G34" s="121">
        <v>1999.4079999999999</v>
      </c>
      <c r="H34" s="121">
        <f>4164-300</f>
        <v>3864</v>
      </c>
      <c r="I34" s="121">
        <f t="shared" si="3"/>
        <v>100</v>
      </c>
    </row>
    <row r="35" spans="1:9" s="99" customFormat="1" ht="36">
      <c r="A35" s="141" t="s">
        <v>552</v>
      </c>
      <c r="B35" s="142" t="s">
        <v>553</v>
      </c>
      <c r="C35" s="111"/>
      <c r="D35" s="111"/>
      <c r="E35" s="137"/>
      <c r="F35" s="112">
        <f>F36</f>
        <v>2650</v>
      </c>
      <c r="G35" s="112">
        <f t="shared" ref="G35:H38" si="9">G36</f>
        <v>1306.501</v>
      </c>
      <c r="H35" s="112">
        <f t="shared" si="9"/>
        <v>2650</v>
      </c>
      <c r="I35" s="112">
        <f t="shared" si="3"/>
        <v>100</v>
      </c>
    </row>
    <row r="36" spans="1:9" s="99" customFormat="1" ht="12">
      <c r="A36" s="64" t="s">
        <v>114</v>
      </c>
      <c r="B36" s="142" t="s">
        <v>553</v>
      </c>
      <c r="C36" s="111" t="s">
        <v>76</v>
      </c>
      <c r="D36" s="111"/>
      <c r="E36" s="150"/>
      <c r="F36" s="134">
        <f>F37</f>
        <v>2650</v>
      </c>
      <c r="G36" s="134">
        <f t="shared" si="9"/>
        <v>1306.501</v>
      </c>
      <c r="H36" s="134">
        <f t="shared" si="9"/>
        <v>2650</v>
      </c>
      <c r="I36" s="112">
        <f t="shared" si="3"/>
        <v>100</v>
      </c>
    </row>
    <row r="37" spans="1:9" s="99" customFormat="1" ht="12">
      <c r="A37" s="64" t="s">
        <v>427</v>
      </c>
      <c r="B37" s="142" t="s">
        <v>553</v>
      </c>
      <c r="C37" s="111" t="s">
        <v>76</v>
      </c>
      <c r="D37" s="111" t="s">
        <v>93</v>
      </c>
      <c r="E37" s="150"/>
      <c r="F37" s="134">
        <f>F38</f>
        <v>2650</v>
      </c>
      <c r="G37" s="134">
        <f t="shared" si="9"/>
        <v>1306.501</v>
      </c>
      <c r="H37" s="134">
        <f t="shared" si="9"/>
        <v>2650</v>
      </c>
      <c r="I37" s="112">
        <f t="shared" si="3"/>
        <v>100</v>
      </c>
    </row>
    <row r="38" spans="1:9" s="99" customFormat="1" ht="12">
      <c r="A38" s="119" t="s">
        <v>301</v>
      </c>
      <c r="B38" s="130" t="s">
        <v>553</v>
      </c>
      <c r="C38" s="120" t="s">
        <v>76</v>
      </c>
      <c r="D38" s="120" t="s">
        <v>93</v>
      </c>
      <c r="E38" s="137">
        <v>200</v>
      </c>
      <c r="F38" s="121">
        <f>F39</f>
        <v>2650</v>
      </c>
      <c r="G38" s="121">
        <f t="shared" si="9"/>
        <v>1306.501</v>
      </c>
      <c r="H38" s="121">
        <f t="shared" si="9"/>
        <v>2650</v>
      </c>
      <c r="I38" s="121">
        <f t="shared" si="3"/>
        <v>100</v>
      </c>
    </row>
    <row r="39" spans="1:9" s="99" customFormat="1" ht="24">
      <c r="A39" s="119" t="s">
        <v>85</v>
      </c>
      <c r="B39" s="130" t="s">
        <v>553</v>
      </c>
      <c r="C39" s="120" t="s">
        <v>76</v>
      </c>
      <c r="D39" s="120" t="s">
        <v>93</v>
      </c>
      <c r="E39" s="137">
        <v>240</v>
      </c>
      <c r="F39" s="121">
        <v>2650</v>
      </c>
      <c r="G39" s="121">
        <v>1306.501</v>
      </c>
      <c r="H39" s="121">
        <v>2650</v>
      </c>
      <c r="I39" s="121">
        <f t="shared" si="3"/>
        <v>100</v>
      </c>
    </row>
    <row r="40" spans="1:9" s="99" customFormat="1" ht="24">
      <c r="A40" s="141" t="s">
        <v>252</v>
      </c>
      <c r="B40" s="142" t="s">
        <v>554</v>
      </c>
      <c r="C40" s="111"/>
      <c r="D40" s="111"/>
      <c r="E40" s="137"/>
      <c r="F40" s="134">
        <f>F41</f>
        <v>800</v>
      </c>
      <c r="G40" s="134">
        <f t="shared" ref="G40:H43" si="10">G41</f>
        <v>99.82</v>
      </c>
      <c r="H40" s="134">
        <f t="shared" si="10"/>
        <v>800</v>
      </c>
      <c r="I40" s="112">
        <f t="shared" si="3"/>
        <v>100</v>
      </c>
    </row>
    <row r="41" spans="1:9" s="99" customFormat="1" ht="12">
      <c r="A41" s="64" t="s">
        <v>114</v>
      </c>
      <c r="B41" s="142" t="s">
        <v>554</v>
      </c>
      <c r="C41" s="111" t="s">
        <v>76</v>
      </c>
      <c r="D41" s="111"/>
      <c r="E41" s="150"/>
      <c r="F41" s="134">
        <f>F42</f>
        <v>800</v>
      </c>
      <c r="G41" s="134">
        <f t="shared" si="10"/>
        <v>99.82</v>
      </c>
      <c r="H41" s="134">
        <f t="shared" si="10"/>
        <v>800</v>
      </c>
      <c r="I41" s="112">
        <f t="shared" si="3"/>
        <v>100</v>
      </c>
    </row>
    <row r="42" spans="1:9" s="99" customFormat="1" ht="12">
      <c r="A42" s="64" t="s">
        <v>427</v>
      </c>
      <c r="B42" s="142" t="s">
        <v>554</v>
      </c>
      <c r="C42" s="111" t="s">
        <v>76</v>
      </c>
      <c r="D42" s="111" t="s">
        <v>93</v>
      </c>
      <c r="E42" s="150"/>
      <c r="F42" s="134">
        <f>F43</f>
        <v>800</v>
      </c>
      <c r="G42" s="134">
        <f t="shared" si="10"/>
        <v>99.82</v>
      </c>
      <c r="H42" s="134">
        <f t="shared" si="10"/>
        <v>800</v>
      </c>
      <c r="I42" s="112">
        <f t="shared" si="3"/>
        <v>100</v>
      </c>
    </row>
    <row r="43" spans="1:9" s="99" customFormat="1" ht="12">
      <c r="A43" s="119" t="s">
        <v>301</v>
      </c>
      <c r="B43" s="130" t="s">
        <v>554</v>
      </c>
      <c r="C43" s="120" t="s">
        <v>76</v>
      </c>
      <c r="D43" s="120" t="s">
        <v>93</v>
      </c>
      <c r="E43" s="137">
        <v>200</v>
      </c>
      <c r="F43" s="135">
        <f>F44</f>
        <v>800</v>
      </c>
      <c r="G43" s="135">
        <f t="shared" si="10"/>
        <v>99.82</v>
      </c>
      <c r="H43" s="135">
        <f t="shared" si="10"/>
        <v>800</v>
      </c>
      <c r="I43" s="121">
        <f t="shared" si="3"/>
        <v>100</v>
      </c>
    </row>
    <row r="44" spans="1:9" s="99" customFormat="1" ht="24">
      <c r="A44" s="119" t="s">
        <v>85</v>
      </c>
      <c r="B44" s="130" t="s">
        <v>554</v>
      </c>
      <c r="C44" s="120" t="s">
        <v>76</v>
      </c>
      <c r="D44" s="120" t="s">
        <v>93</v>
      </c>
      <c r="E44" s="137">
        <v>240</v>
      </c>
      <c r="F44" s="135">
        <v>800</v>
      </c>
      <c r="G44" s="135">
        <v>99.82</v>
      </c>
      <c r="H44" s="135">
        <v>800</v>
      </c>
      <c r="I44" s="121">
        <f t="shared" si="3"/>
        <v>100</v>
      </c>
    </row>
    <row r="45" spans="1:9" s="99" customFormat="1" ht="12">
      <c r="A45" s="141" t="s">
        <v>253</v>
      </c>
      <c r="B45" s="142" t="s">
        <v>555</v>
      </c>
      <c r="C45" s="111"/>
      <c r="D45" s="111"/>
      <c r="E45" s="137"/>
      <c r="F45" s="112">
        <f>F46</f>
        <v>500</v>
      </c>
      <c r="G45" s="112">
        <f t="shared" ref="G45:H48" si="11">G46</f>
        <v>130.5</v>
      </c>
      <c r="H45" s="112">
        <f t="shared" si="11"/>
        <v>500</v>
      </c>
      <c r="I45" s="112">
        <f t="shared" si="3"/>
        <v>100</v>
      </c>
    </row>
    <row r="46" spans="1:9" s="99" customFormat="1" ht="12">
      <c r="A46" s="64" t="s">
        <v>114</v>
      </c>
      <c r="B46" s="142" t="s">
        <v>555</v>
      </c>
      <c r="C46" s="111" t="s">
        <v>76</v>
      </c>
      <c r="D46" s="111"/>
      <c r="E46" s="150"/>
      <c r="F46" s="134">
        <f>F47</f>
        <v>500</v>
      </c>
      <c r="G46" s="134">
        <f t="shared" si="11"/>
        <v>130.5</v>
      </c>
      <c r="H46" s="134">
        <f t="shared" si="11"/>
        <v>500</v>
      </c>
      <c r="I46" s="112">
        <f t="shared" si="3"/>
        <v>100</v>
      </c>
    </row>
    <row r="47" spans="1:9" s="99" customFormat="1" ht="12">
      <c r="A47" s="64" t="s">
        <v>427</v>
      </c>
      <c r="B47" s="142" t="s">
        <v>555</v>
      </c>
      <c r="C47" s="111" t="s">
        <v>76</v>
      </c>
      <c r="D47" s="111" t="s">
        <v>93</v>
      </c>
      <c r="E47" s="150"/>
      <c r="F47" s="134">
        <f>F48</f>
        <v>500</v>
      </c>
      <c r="G47" s="134">
        <f t="shared" si="11"/>
        <v>130.5</v>
      </c>
      <c r="H47" s="134">
        <f t="shared" si="11"/>
        <v>500</v>
      </c>
      <c r="I47" s="112">
        <f t="shared" si="3"/>
        <v>100</v>
      </c>
    </row>
    <row r="48" spans="1:9" s="99" customFormat="1" ht="12">
      <c r="A48" s="119" t="s">
        <v>301</v>
      </c>
      <c r="B48" s="130" t="s">
        <v>555</v>
      </c>
      <c r="C48" s="120" t="s">
        <v>76</v>
      </c>
      <c r="D48" s="120" t="s">
        <v>93</v>
      </c>
      <c r="E48" s="137">
        <v>200</v>
      </c>
      <c r="F48" s="121">
        <f>F49</f>
        <v>500</v>
      </c>
      <c r="G48" s="121">
        <f t="shared" si="11"/>
        <v>130.5</v>
      </c>
      <c r="H48" s="121">
        <f t="shared" si="11"/>
        <v>500</v>
      </c>
      <c r="I48" s="121">
        <f t="shared" si="3"/>
        <v>100</v>
      </c>
    </row>
    <row r="49" spans="1:9" s="99" customFormat="1" ht="24">
      <c r="A49" s="119" t="s">
        <v>85</v>
      </c>
      <c r="B49" s="130" t="s">
        <v>555</v>
      </c>
      <c r="C49" s="120" t="s">
        <v>76</v>
      </c>
      <c r="D49" s="120" t="s">
        <v>93</v>
      </c>
      <c r="E49" s="137">
        <v>240</v>
      </c>
      <c r="F49" s="121">
        <v>500</v>
      </c>
      <c r="G49" s="121">
        <v>130.5</v>
      </c>
      <c r="H49" s="121">
        <v>500</v>
      </c>
      <c r="I49" s="121">
        <f t="shared" si="3"/>
        <v>100</v>
      </c>
    </row>
    <row r="50" spans="1:9" s="99" customFormat="1" ht="13.5">
      <c r="A50" s="123" t="s">
        <v>39</v>
      </c>
      <c r="B50" s="149" t="s">
        <v>40</v>
      </c>
      <c r="C50" s="114"/>
      <c r="D50" s="114"/>
      <c r="E50" s="147"/>
      <c r="F50" s="115">
        <f>F51+F56</f>
        <v>2700</v>
      </c>
      <c r="G50" s="162">
        <f t="shared" ref="G50:H50" si="12">G51+G56</f>
        <v>0</v>
      </c>
      <c r="H50" s="115">
        <f t="shared" si="12"/>
        <v>2700</v>
      </c>
      <c r="I50" s="115">
        <f t="shared" si="3"/>
        <v>100</v>
      </c>
    </row>
    <row r="51" spans="1:9" s="99" customFormat="1" ht="12">
      <c r="A51" s="110" t="s">
        <v>41</v>
      </c>
      <c r="B51" s="111" t="s">
        <v>556</v>
      </c>
      <c r="C51" s="111"/>
      <c r="D51" s="111"/>
      <c r="E51" s="150"/>
      <c r="F51" s="112">
        <f>F52</f>
        <v>1000</v>
      </c>
      <c r="G51" s="134">
        <f t="shared" ref="G51:H54" si="13">G52</f>
        <v>0</v>
      </c>
      <c r="H51" s="112">
        <f t="shared" si="13"/>
        <v>1000</v>
      </c>
      <c r="I51" s="112">
        <f t="shared" si="3"/>
        <v>100</v>
      </c>
    </row>
    <row r="52" spans="1:9" s="99" customFormat="1" ht="12">
      <c r="A52" s="64" t="s">
        <v>114</v>
      </c>
      <c r="B52" s="111" t="s">
        <v>556</v>
      </c>
      <c r="C52" s="111" t="s">
        <v>76</v>
      </c>
      <c r="D52" s="111"/>
      <c r="E52" s="150"/>
      <c r="F52" s="134">
        <f>F53</f>
        <v>1000</v>
      </c>
      <c r="G52" s="134">
        <f t="shared" si="13"/>
        <v>0</v>
      </c>
      <c r="H52" s="134">
        <f t="shared" si="13"/>
        <v>1000</v>
      </c>
      <c r="I52" s="112">
        <f t="shared" si="3"/>
        <v>100</v>
      </c>
    </row>
    <row r="53" spans="1:9" s="99" customFormat="1" ht="12">
      <c r="A53" s="64" t="s">
        <v>427</v>
      </c>
      <c r="B53" s="111" t="s">
        <v>556</v>
      </c>
      <c r="C53" s="111" t="s">
        <v>76</v>
      </c>
      <c r="D53" s="111" t="s">
        <v>93</v>
      </c>
      <c r="E53" s="150"/>
      <c r="F53" s="134">
        <f>F54</f>
        <v>1000</v>
      </c>
      <c r="G53" s="134">
        <f t="shared" si="13"/>
        <v>0</v>
      </c>
      <c r="H53" s="134">
        <f t="shared" si="13"/>
        <v>1000</v>
      </c>
      <c r="I53" s="112">
        <f t="shared" si="3"/>
        <v>100</v>
      </c>
    </row>
    <row r="54" spans="1:9" s="99" customFormat="1" ht="12">
      <c r="A54" s="119" t="s">
        <v>301</v>
      </c>
      <c r="B54" s="130" t="s">
        <v>556</v>
      </c>
      <c r="C54" s="120" t="s">
        <v>76</v>
      </c>
      <c r="D54" s="120" t="s">
        <v>93</v>
      </c>
      <c r="E54" s="137">
        <v>200</v>
      </c>
      <c r="F54" s="121">
        <f>F55</f>
        <v>1000</v>
      </c>
      <c r="G54" s="135">
        <f t="shared" si="13"/>
        <v>0</v>
      </c>
      <c r="H54" s="121">
        <f t="shared" si="13"/>
        <v>1000</v>
      </c>
      <c r="I54" s="121">
        <f t="shared" si="3"/>
        <v>100</v>
      </c>
    </row>
    <row r="55" spans="1:9" s="99" customFormat="1" ht="24">
      <c r="A55" s="119" t="s">
        <v>85</v>
      </c>
      <c r="B55" s="130" t="s">
        <v>556</v>
      </c>
      <c r="C55" s="120" t="s">
        <v>76</v>
      </c>
      <c r="D55" s="120" t="s">
        <v>93</v>
      </c>
      <c r="E55" s="137">
        <v>240</v>
      </c>
      <c r="F55" s="121">
        <v>1000</v>
      </c>
      <c r="G55" s="135">
        <v>0</v>
      </c>
      <c r="H55" s="121">
        <v>1000</v>
      </c>
      <c r="I55" s="121">
        <f t="shared" si="3"/>
        <v>100</v>
      </c>
    </row>
    <row r="56" spans="1:9" s="99" customFormat="1" ht="24">
      <c r="A56" s="110" t="s">
        <v>557</v>
      </c>
      <c r="B56" s="142" t="s">
        <v>558</v>
      </c>
      <c r="C56" s="111"/>
      <c r="D56" s="111"/>
      <c r="E56" s="150"/>
      <c r="F56" s="112">
        <f>F57</f>
        <v>1700</v>
      </c>
      <c r="G56" s="134">
        <f t="shared" ref="G56:H59" si="14">G57</f>
        <v>0</v>
      </c>
      <c r="H56" s="112">
        <f t="shared" si="14"/>
        <v>1700</v>
      </c>
      <c r="I56" s="112">
        <f t="shared" si="3"/>
        <v>100</v>
      </c>
    </row>
    <row r="57" spans="1:9" s="99" customFormat="1" ht="12">
      <c r="A57" s="64" t="s">
        <v>114</v>
      </c>
      <c r="B57" s="142" t="s">
        <v>558</v>
      </c>
      <c r="C57" s="111" t="s">
        <v>76</v>
      </c>
      <c r="D57" s="111"/>
      <c r="E57" s="150"/>
      <c r="F57" s="134">
        <f>F58</f>
        <v>1700</v>
      </c>
      <c r="G57" s="134">
        <f t="shared" si="14"/>
        <v>0</v>
      </c>
      <c r="H57" s="134">
        <f t="shared" si="14"/>
        <v>1700</v>
      </c>
      <c r="I57" s="112">
        <f t="shared" si="3"/>
        <v>100</v>
      </c>
    </row>
    <row r="58" spans="1:9" s="99" customFormat="1" ht="12">
      <c r="A58" s="64" t="s">
        <v>427</v>
      </c>
      <c r="B58" s="142" t="s">
        <v>558</v>
      </c>
      <c r="C58" s="111" t="s">
        <v>76</v>
      </c>
      <c r="D58" s="111" t="s">
        <v>93</v>
      </c>
      <c r="E58" s="150"/>
      <c r="F58" s="134">
        <f>F59</f>
        <v>1700</v>
      </c>
      <c r="G58" s="134">
        <f t="shared" si="14"/>
        <v>0</v>
      </c>
      <c r="H58" s="134">
        <f t="shared" si="14"/>
        <v>1700</v>
      </c>
      <c r="I58" s="112">
        <f t="shared" si="3"/>
        <v>100</v>
      </c>
    </row>
    <row r="59" spans="1:9" s="99" customFormat="1" ht="12">
      <c r="A59" s="119" t="s">
        <v>301</v>
      </c>
      <c r="B59" s="130" t="s">
        <v>558</v>
      </c>
      <c r="C59" s="120" t="s">
        <v>76</v>
      </c>
      <c r="D59" s="120" t="s">
        <v>93</v>
      </c>
      <c r="E59" s="137">
        <v>200</v>
      </c>
      <c r="F59" s="121">
        <f>F60</f>
        <v>1700</v>
      </c>
      <c r="G59" s="135">
        <f t="shared" si="14"/>
        <v>0</v>
      </c>
      <c r="H59" s="121">
        <f t="shared" si="14"/>
        <v>1700</v>
      </c>
      <c r="I59" s="121">
        <f t="shared" si="3"/>
        <v>100</v>
      </c>
    </row>
    <row r="60" spans="1:9" s="99" customFormat="1" ht="24">
      <c r="A60" s="119" t="s">
        <v>85</v>
      </c>
      <c r="B60" s="130" t="s">
        <v>558</v>
      </c>
      <c r="C60" s="120" t="s">
        <v>76</v>
      </c>
      <c r="D60" s="120" t="s">
        <v>93</v>
      </c>
      <c r="E60" s="137">
        <v>240</v>
      </c>
      <c r="F60" s="121">
        <v>1700</v>
      </c>
      <c r="G60" s="135">
        <v>0</v>
      </c>
      <c r="H60" s="121">
        <v>1700</v>
      </c>
      <c r="I60" s="121">
        <f t="shared" si="3"/>
        <v>100</v>
      </c>
    </row>
    <row r="61" spans="1:9" s="99" customFormat="1" ht="54">
      <c r="A61" s="131" t="s">
        <v>576</v>
      </c>
      <c r="B61" s="191" t="s">
        <v>255</v>
      </c>
      <c r="C61" s="132"/>
      <c r="D61" s="132"/>
      <c r="E61" s="132"/>
      <c r="F61" s="192">
        <f>F62</f>
        <v>1500</v>
      </c>
      <c r="G61" s="192">
        <f t="shared" ref="G61:H65" si="15">G62</f>
        <v>590</v>
      </c>
      <c r="H61" s="192">
        <f t="shared" si="15"/>
        <v>1500</v>
      </c>
      <c r="I61" s="192">
        <f>H61/F61*100</f>
        <v>100</v>
      </c>
    </row>
    <row r="62" spans="1:9" s="99" customFormat="1" ht="24">
      <c r="A62" s="141" t="s">
        <v>49</v>
      </c>
      <c r="B62" s="142" t="s">
        <v>577</v>
      </c>
      <c r="C62" s="111"/>
      <c r="D62" s="111"/>
      <c r="E62" s="111"/>
      <c r="F62" s="112">
        <f>F63</f>
        <v>1500</v>
      </c>
      <c r="G62" s="112">
        <f t="shared" si="15"/>
        <v>590</v>
      </c>
      <c r="H62" s="112">
        <f t="shared" si="15"/>
        <v>1500</v>
      </c>
      <c r="I62" s="112">
        <f t="shared" si="3"/>
        <v>100</v>
      </c>
    </row>
    <row r="63" spans="1:9" s="99" customFormat="1" ht="12">
      <c r="A63" s="69" t="s">
        <v>406</v>
      </c>
      <c r="B63" s="142" t="s">
        <v>577</v>
      </c>
      <c r="C63" s="21" t="s">
        <v>515</v>
      </c>
      <c r="D63" s="21"/>
      <c r="E63" s="21"/>
      <c r="F63" s="38">
        <f>F64</f>
        <v>1500</v>
      </c>
      <c r="G63" s="38">
        <f t="shared" si="15"/>
        <v>590</v>
      </c>
      <c r="H63" s="38">
        <f t="shared" si="15"/>
        <v>1500</v>
      </c>
      <c r="I63" s="112">
        <f t="shared" si="3"/>
        <v>100</v>
      </c>
    </row>
    <row r="64" spans="1:9" s="99" customFormat="1" ht="12">
      <c r="A64" s="69" t="s">
        <v>394</v>
      </c>
      <c r="B64" s="142" t="s">
        <v>577</v>
      </c>
      <c r="C64" s="21" t="s">
        <v>515</v>
      </c>
      <c r="D64" s="21" t="s">
        <v>483</v>
      </c>
      <c r="E64" s="21"/>
      <c r="F64" s="38">
        <f>F65</f>
        <v>1500</v>
      </c>
      <c r="G64" s="38">
        <f t="shared" si="15"/>
        <v>590</v>
      </c>
      <c r="H64" s="38">
        <f t="shared" si="15"/>
        <v>1500</v>
      </c>
      <c r="I64" s="112">
        <f t="shared" si="3"/>
        <v>100</v>
      </c>
    </row>
    <row r="65" spans="1:9" s="99" customFormat="1" ht="12">
      <c r="A65" s="119" t="s">
        <v>95</v>
      </c>
      <c r="B65" s="130" t="s">
        <v>577</v>
      </c>
      <c r="C65" s="120" t="s">
        <v>515</v>
      </c>
      <c r="D65" s="120" t="s">
        <v>483</v>
      </c>
      <c r="E65" s="120" t="s">
        <v>94</v>
      </c>
      <c r="F65" s="121">
        <f>F66</f>
        <v>1500</v>
      </c>
      <c r="G65" s="121">
        <f t="shared" si="15"/>
        <v>590</v>
      </c>
      <c r="H65" s="121">
        <f t="shared" si="15"/>
        <v>1500</v>
      </c>
      <c r="I65" s="121">
        <f t="shared" si="3"/>
        <v>100</v>
      </c>
    </row>
    <row r="66" spans="1:9" s="99" customFormat="1" ht="12">
      <c r="A66" s="119" t="s">
        <v>157</v>
      </c>
      <c r="B66" s="130" t="s">
        <v>577</v>
      </c>
      <c r="C66" s="120" t="s">
        <v>515</v>
      </c>
      <c r="D66" s="120" t="s">
        <v>483</v>
      </c>
      <c r="E66" s="120" t="s">
        <v>518</v>
      </c>
      <c r="F66" s="121">
        <v>1500</v>
      </c>
      <c r="G66" s="121">
        <v>590</v>
      </c>
      <c r="H66" s="121">
        <v>1500</v>
      </c>
      <c r="I66" s="121">
        <f t="shared" si="3"/>
        <v>100</v>
      </c>
    </row>
    <row r="67" spans="1:9" s="99" customFormat="1" ht="40.5">
      <c r="A67" s="131" t="s">
        <v>590</v>
      </c>
      <c r="B67" s="132" t="s">
        <v>236</v>
      </c>
      <c r="C67" s="132"/>
      <c r="D67" s="132"/>
      <c r="E67" s="132"/>
      <c r="F67" s="192">
        <f>F68+F86+F92+F133</f>
        <v>1033427.35919</v>
      </c>
      <c r="G67" s="192">
        <f t="shared" ref="G67:H67" si="16">G68+G86+G92+G133</f>
        <v>714329.70418</v>
      </c>
      <c r="H67" s="192">
        <f t="shared" si="16"/>
        <v>1029072.4641900001</v>
      </c>
      <c r="I67" s="192">
        <f>H67/F67*100</f>
        <v>99.578596893020787</v>
      </c>
    </row>
    <row r="68" spans="1:9" s="99" customFormat="1" ht="24">
      <c r="A68" s="124" t="s">
        <v>99</v>
      </c>
      <c r="B68" s="125" t="s">
        <v>237</v>
      </c>
      <c r="C68" s="125"/>
      <c r="D68" s="125"/>
      <c r="E68" s="125"/>
      <c r="F68" s="126">
        <f>F69+F74+F81</f>
        <v>6898.35</v>
      </c>
      <c r="G68" s="126">
        <f t="shared" ref="G68:H68" si="17">G69+G74+G81</f>
        <v>5215.4927099999995</v>
      </c>
      <c r="H68" s="126">
        <f t="shared" si="17"/>
        <v>6898.3490000000002</v>
      </c>
      <c r="I68" s="126">
        <f t="shared" si="3"/>
        <v>99.999985503779882</v>
      </c>
    </row>
    <row r="69" spans="1:9" s="101" customFormat="1" ht="24">
      <c r="A69" s="127" t="s">
        <v>303</v>
      </c>
      <c r="B69" s="111" t="s">
        <v>330</v>
      </c>
      <c r="C69" s="111"/>
      <c r="D69" s="111"/>
      <c r="E69" s="111"/>
      <c r="F69" s="112">
        <f>F70</f>
        <v>5270</v>
      </c>
      <c r="G69" s="112">
        <f t="shared" ref="G69:H72" si="18">G70</f>
        <v>3742.5810299999998</v>
      </c>
      <c r="H69" s="112">
        <f t="shared" si="18"/>
        <v>5270</v>
      </c>
      <c r="I69" s="112">
        <f t="shared" si="3"/>
        <v>100</v>
      </c>
    </row>
    <row r="70" spans="1:9" s="101" customFormat="1" ht="12">
      <c r="A70" s="66" t="s">
        <v>363</v>
      </c>
      <c r="B70" s="111" t="s">
        <v>330</v>
      </c>
      <c r="C70" s="21" t="s">
        <v>78</v>
      </c>
      <c r="D70" s="21"/>
      <c r="E70" s="21"/>
      <c r="F70" s="38">
        <f>F71</f>
        <v>5270</v>
      </c>
      <c r="G70" s="38">
        <f t="shared" si="18"/>
        <v>3742.5810299999998</v>
      </c>
      <c r="H70" s="38">
        <f t="shared" si="18"/>
        <v>5270</v>
      </c>
      <c r="I70" s="112">
        <f t="shared" si="3"/>
        <v>100</v>
      </c>
    </row>
    <row r="71" spans="1:9" s="101" customFormat="1" ht="12">
      <c r="A71" s="65" t="s">
        <v>374</v>
      </c>
      <c r="B71" s="111" t="s">
        <v>330</v>
      </c>
      <c r="C71" s="21" t="s">
        <v>78</v>
      </c>
      <c r="D71" s="21" t="s">
        <v>488</v>
      </c>
      <c r="E71" s="21"/>
      <c r="F71" s="38">
        <f>F72</f>
        <v>5270</v>
      </c>
      <c r="G71" s="38">
        <f t="shared" si="18"/>
        <v>3742.5810299999998</v>
      </c>
      <c r="H71" s="38">
        <f t="shared" si="18"/>
        <v>5270</v>
      </c>
      <c r="I71" s="112">
        <f t="shared" si="3"/>
        <v>100</v>
      </c>
    </row>
    <row r="72" spans="1:9" s="101" customFormat="1" ht="36">
      <c r="A72" s="119" t="s">
        <v>79</v>
      </c>
      <c r="B72" s="120" t="s">
        <v>330</v>
      </c>
      <c r="C72" s="120" t="s">
        <v>78</v>
      </c>
      <c r="D72" s="120" t="s">
        <v>488</v>
      </c>
      <c r="E72" s="120" t="s">
        <v>80</v>
      </c>
      <c r="F72" s="121">
        <f>F73</f>
        <v>5270</v>
      </c>
      <c r="G72" s="121">
        <f t="shared" si="18"/>
        <v>3742.5810299999998</v>
      </c>
      <c r="H72" s="121">
        <f t="shared" si="18"/>
        <v>5270</v>
      </c>
      <c r="I72" s="121">
        <f t="shared" ref="I72:I135" si="19">H72/F72*100</f>
        <v>100</v>
      </c>
    </row>
    <row r="73" spans="1:9" s="101" customFormat="1" ht="12">
      <c r="A73" s="119" t="s">
        <v>81</v>
      </c>
      <c r="B73" s="120" t="s">
        <v>330</v>
      </c>
      <c r="C73" s="120" t="s">
        <v>78</v>
      </c>
      <c r="D73" s="120" t="s">
        <v>488</v>
      </c>
      <c r="E73" s="120" t="s">
        <v>82</v>
      </c>
      <c r="F73" s="121">
        <v>5270</v>
      </c>
      <c r="G73" s="121">
        <v>3742.5810299999998</v>
      </c>
      <c r="H73" s="121">
        <v>5270</v>
      </c>
      <c r="I73" s="121">
        <f t="shared" si="19"/>
        <v>100</v>
      </c>
    </row>
    <row r="74" spans="1:9" s="101" customFormat="1" ht="12">
      <c r="A74" s="110" t="s">
        <v>83</v>
      </c>
      <c r="B74" s="111" t="s">
        <v>331</v>
      </c>
      <c r="C74" s="111"/>
      <c r="D74" s="111"/>
      <c r="E74" s="111"/>
      <c r="F74" s="112">
        <f>F75</f>
        <v>263</v>
      </c>
      <c r="G74" s="112">
        <f t="shared" ref="G74:H75" si="20">G75</f>
        <v>107.56268</v>
      </c>
      <c r="H74" s="112">
        <f t="shared" si="20"/>
        <v>263</v>
      </c>
      <c r="I74" s="112">
        <f t="shared" si="19"/>
        <v>100</v>
      </c>
    </row>
    <row r="75" spans="1:9" s="101" customFormat="1" ht="12">
      <c r="A75" s="66" t="s">
        <v>363</v>
      </c>
      <c r="B75" s="111" t="s">
        <v>331</v>
      </c>
      <c r="C75" s="21" t="s">
        <v>78</v>
      </c>
      <c r="D75" s="21"/>
      <c r="E75" s="111"/>
      <c r="F75" s="112">
        <f>F76</f>
        <v>263</v>
      </c>
      <c r="G75" s="112">
        <f t="shared" si="20"/>
        <v>107.56268</v>
      </c>
      <c r="H75" s="112">
        <f t="shared" si="20"/>
        <v>263</v>
      </c>
      <c r="I75" s="112">
        <f t="shared" si="19"/>
        <v>100</v>
      </c>
    </row>
    <row r="76" spans="1:9" s="101" customFormat="1" ht="12">
      <c r="A76" s="65" t="s">
        <v>374</v>
      </c>
      <c r="B76" s="111" t="s">
        <v>331</v>
      </c>
      <c r="C76" s="21" t="s">
        <v>78</v>
      </c>
      <c r="D76" s="21" t="s">
        <v>488</v>
      </c>
      <c r="E76" s="111"/>
      <c r="F76" s="112">
        <f>F77+F79</f>
        <v>263</v>
      </c>
      <c r="G76" s="112">
        <f t="shared" ref="G76:H76" si="21">G77+G79</f>
        <v>107.56268</v>
      </c>
      <c r="H76" s="112">
        <f t="shared" si="21"/>
        <v>263</v>
      </c>
      <c r="I76" s="112">
        <f t="shared" si="19"/>
        <v>100</v>
      </c>
    </row>
    <row r="77" spans="1:9" s="101" customFormat="1" ht="24">
      <c r="A77" s="119" t="s">
        <v>596</v>
      </c>
      <c r="B77" s="120" t="s">
        <v>331</v>
      </c>
      <c r="C77" s="120" t="s">
        <v>78</v>
      </c>
      <c r="D77" s="120" t="s">
        <v>488</v>
      </c>
      <c r="E77" s="120" t="s">
        <v>84</v>
      </c>
      <c r="F77" s="121">
        <f>F78</f>
        <v>260</v>
      </c>
      <c r="G77" s="121">
        <f t="shared" ref="G77:H77" si="22">G78</f>
        <v>104.85760999999999</v>
      </c>
      <c r="H77" s="121">
        <f t="shared" si="22"/>
        <v>260</v>
      </c>
      <c r="I77" s="121">
        <f t="shared" si="19"/>
        <v>100</v>
      </c>
    </row>
    <row r="78" spans="1:9" s="101" customFormat="1" ht="24">
      <c r="A78" s="119" t="s">
        <v>85</v>
      </c>
      <c r="B78" s="120" t="s">
        <v>331</v>
      </c>
      <c r="C78" s="120" t="s">
        <v>78</v>
      </c>
      <c r="D78" s="120" t="s">
        <v>488</v>
      </c>
      <c r="E78" s="120" t="s">
        <v>86</v>
      </c>
      <c r="F78" s="121">
        <v>260</v>
      </c>
      <c r="G78" s="121">
        <v>104.85760999999999</v>
      </c>
      <c r="H78" s="121">
        <v>260</v>
      </c>
      <c r="I78" s="121">
        <f t="shared" si="19"/>
        <v>100</v>
      </c>
    </row>
    <row r="79" spans="1:9" s="101" customFormat="1" ht="12">
      <c r="A79" s="119" t="s">
        <v>87</v>
      </c>
      <c r="B79" s="120" t="s">
        <v>331</v>
      </c>
      <c r="C79" s="120" t="s">
        <v>78</v>
      </c>
      <c r="D79" s="120" t="s">
        <v>488</v>
      </c>
      <c r="E79" s="120" t="s">
        <v>88</v>
      </c>
      <c r="F79" s="121">
        <f>F80</f>
        <v>3</v>
      </c>
      <c r="G79" s="121">
        <f t="shared" ref="G79:H79" si="23">G80</f>
        <v>2.7050700000000001</v>
      </c>
      <c r="H79" s="121">
        <f t="shared" si="23"/>
        <v>3</v>
      </c>
      <c r="I79" s="121">
        <f t="shared" si="19"/>
        <v>100</v>
      </c>
    </row>
    <row r="80" spans="1:9" s="101" customFormat="1" ht="12">
      <c r="A80" s="119" t="s">
        <v>155</v>
      </c>
      <c r="B80" s="120" t="s">
        <v>331</v>
      </c>
      <c r="C80" s="120" t="s">
        <v>78</v>
      </c>
      <c r="D80" s="120" t="s">
        <v>488</v>
      </c>
      <c r="E80" s="120" t="s">
        <v>89</v>
      </c>
      <c r="F80" s="121">
        <v>3</v>
      </c>
      <c r="G80" s="121">
        <v>2.7050700000000001</v>
      </c>
      <c r="H80" s="121">
        <v>3</v>
      </c>
      <c r="I80" s="121">
        <f t="shared" si="19"/>
        <v>100</v>
      </c>
    </row>
    <row r="81" spans="1:9" s="101" customFormat="1" ht="12">
      <c r="A81" s="110" t="s">
        <v>228</v>
      </c>
      <c r="B81" s="21" t="s">
        <v>763</v>
      </c>
      <c r="C81" s="22"/>
      <c r="D81" s="22"/>
      <c r="E81" s="21"/>
      <c r="F81" s="112">
        <f>F82</f>
        <v>1365.35</v>
      </c>
      <c r="G81" s="112">
        <f t="shared" ref="G81:H84" si="24">G82</f>
        <v>1365.3489999999999</v>
      </c>
      <c r="H81" s="112">
        <f t="shared" si="24"/>
        <v>1365.3489999999999</v>
      </c>
      <c r="I81" s="112">
        <f t="shared" si="19"/>
        <v>99.999926758706565</v>
      </c>
    </row>
    <row r="82" spans="1:9" s="101" customFormat="1" ht="12">
      <c r="A82" s="66" t="s">
        <v>363</v>
      </c>
      <c r="B82" s="21" t="s">
        <v>763</v>
      </c>
      <c r="C82" s="21" t="s">
        <v>78</v>
      </c>
      <c r="D82" s="22"/>
      <c r="E82" s="21"/>
      <c r="F82" s="112">
        <f>F83</f>
        <v>1365.35</v>
      </c>
      <c r="G82" s="112">
        <f t="shared" si="24"/>
        <v>1365.3489999999999</v>
      </c>
      <c r="H82" s="112">
        <f t="shared" si="24"/>
        <v>1365.3489999999999</v>
      </c>
      <c r="I82" s="112">
        <f t="shared" si="19"/>
        <v>99.999926758706565</v>
      </c>
    </row>
    <row r="83" spans="1:9" s="101" customFormat="1" ht="12">
      <c r="A83" s="51" t="s">
        <v>397</v>
      </c>
      <c r="B83" s="21" t="s">
        <v>763</v>
      </c>
      <c r="C83" s="21" t="s">
        <v>78</v>
      </c>
      <c r="D83" s="21" t="s">
        <v>484</v>
      </c>
      <c r="E83" s="21"/>
      <c r="F83" s="112">
        <f>F84</f>
        <v>1365.35</v>
      </c>
      <c r="G83" s="112">
        <f t="shared" si="24"/>
        <v>1365.3489999999999</v>
      </c>
      <c r="H83" s="112">
        <f t="shared" si="24"/>
        <v>1365.3489999999999</v>
      </c>
      <c r="I83" s="112">
        <f t="shared" si="19"/>
        <v>99.999926758706565</v>
      </c>
    </row>
    <row r="84" spans="1:9" s="101" customFormat="1" ht="12">
      <c r="A84" s="72" t="s">
        <v>301</v>
      </c>
      <c r="B84" s="28" t="s">
        <v>763</v>
      </c>
      <c r="C84" s="28" t="s">
        <v>78</v>
      </c>
      <c r="D84" s="28" t="s">
        <v>484</v>
      </c>
      <c r="E84" s="28" t="s">
        <v>84</v>
      </c>
      <c r="F84" s="121">
        <f>F85</f>
        <v>1365.35</v>
      </c>
      <c r="G84" s="121">
        <f t="shared" si="24"/>
        <v>1365.3489999999999</v>
      </c>
      <c r="H84" s="121">
        <f t="shared" si="24"/>
        <v>1365.3489999999999</v>
      </c>
      <c r="I84" s="121">
        <f t="shared" si="19"/>
        <v>99.999926758706565</v>
      </c>
    </row>
    <row r="85" spans="1:9" s="101" customFormat="1" ht="24">
      <c r="A85" s="72" t="s">
        <v>85</v>
      </c>
      <c r="B85" s="28" t="s">
        <v>763</v>
      </c>
      <c r="C85" s="28" t="s">
        <v>78</v>
      </c>
      <c r="D85" s="28" t="s">
        <v>484</v>
      </c>
      <c r="E85" s="28" t="s">
        <v>86</v>
      </c>
      <c r="F85" s="121">
        <v>1365.35</v>
      </c>
      <c r="G85" s="121">
        <v>1365.3489999999999</v>
      </c>
      <c r="H85" s="121">
        <v>1365.3489999999999</v>
      </c>
      <c r="I85" s="121">
        <f t="shared" si="19"/>
        <v>99.999926758706565</v>
      </c>
    </row>
    <row r="86" spans="1:9" s="101" customFormat="1" ht="24">
      <c r="A86" s="128" t="s">
        <v>332</v>
      </c>
      <c r="B86" s="129" t="s">
        <v>333</v>
      </c>
      <c r="C86" s="125"/>
      <c r="D86" s="125"/>
      <c r="E86" s="125"/>
      <c r="F86" s="126">
        <f>F87</f>
        <v>63000</v>
      </c>
      <c r="G86" s="126">
        <f t="shared" ref="G86:H90" si="25">G87</f>
        <v>54500</v>
      </c>
      <c r="H86" s="126">
        <f t="shared" si="25"/>
        <v>60750</v>
      </c>
      <c r="I86" s="126">
        <f t="shared" si="19"/>
        <v>96.428571428571431</v>
      </c>
    </row>
    <row r="87" spans="1:9" s="101" customFormat="1" ht="36">
      <c r="A87" s="128" t="s">
        <v>591</v>
      </c>
      <c r="B87" s="129" t="s">
        <v>592</v>
      </c>
      <c r="C87" s="125"/>
      <c r="D87" s="125"/>
      <c r="E87" s="125"/>
      <c r="F87" s="126">
        <f>F88</f>
        <v>63000</v>
      </c>
      <c r="G87" s="126">
        <f t="shared" si="25"/>
        <v>54500</v>
      </c>
      <c r="H87" s="126">
        <f t="shared" si="25"/>
        <v>60750</v>
      </c>
      <c r="I87" s="126">
        <f t="shared" si="19"/>
        <v>96.428571428571431</v>
      </c>
    </row>
    <row r="88" spans="1:9" s="101" customFormat="1" ht="12">
      <c r="A88" s="66" t="s">
        <v>363</v>
      </c>
      <c r="B88" s="142" t="s">
        <v>592</v>
      </c>
      <c r="C88" s="21" t="s">
        <v>78</v>
      </c>
      <c r="D88" s="21"/>
      <c r="E88" s="125"/>
      <c r="F88" s="112">
        <f>F89</f>
        <v>63000</v>
      </c>
      <c r="G88" s="112">
        <f t="shared" si="25"/>
        <v>54500</v>
      </c>
      <c r="H88" s="112">
        <f t="shared" si="25"/>
        <v>60750</v>
      </c>
      <c r="I88" s="112">
        <f t="shared" si="19"/>
        <v>96.428571428571431</v>
      </c>
    </row>
    <row r="89" spans="1:9" s="101" customFormat="1" ht="12">
      <c r="A89" s="65" t="s">
        <v>374</v>
      </c>
      <c r="B89" s="142" t="s">
        <v>592</v>
      </c>
      <c r="C89" s="21" t="s">
        <v>78</v>
      </c>
      <c r="D89" s="21" t="s">
        <v>488</v>
      </c>
      <c r="E89" s="125"/>
      <c r="F89" s="112">
        <f>F90</f>
        <v>63000</v>
      </c>
      <c r="G89" s="112">
        <f t="shared" si="25"/>
        <v>54500</v>
      </c>
      <c r="H89" s="112">
        <f t="shared" si="25"/>
        <v>60750</v>
      </c>
      <c r="I89" s="112">
        <f t="shared" si="19"/>
        <v>96.428571428571431</v>
      </c>
    </row>
    <row r="90" spans="1:9" s="101" customFormat="1" ht="12">
      <c r="A90" s="119" t="s">
        <v>87</v>
      </c>
      <c r="B90" s="130" t="s">
        <v>592</v>
      </c>
      <c r="C90" s="120" t="s">
        <v>78</v>
      </c>
      <c r="D90" s="120" t="s">
        <v>488</v>
      </c>
      <c r="E90" s="120" t="s">
        <v>88</v>
      </c>
      <c r="F90" s="121">
        <f>F91</f>
        <v>63000</v>
      </c>
      <c r="G90" s="121">
        <f t="shared" si="25"/>
        <v>54500</v>
      </c>
      <c r="H90" s="121">
        <f t="shared" si="25"/>
        <v>60750</v>
      </c>
      <c r="I90" s="121">
        <f t="shared" si="19"/>
        <v>96.428571428571431</v>
      </c>
    </row>
    <row r="91" spans="1:9" s="101" customFormat="1" ht="36">
      <c r="A91" s="119" t="s">
        <v>593</v>
      </c>
      <c r="B91" s="130" t="s">
        <v>592</v>
      </c>
      <c r="C91" s="120" t="s">
        <v>78</v>
      </c>
      <c r="D91" s="120" t="s">
        <v>488</v>
      </c>
      <c r="E91" s="120" t="s">
        <v>430</v>
      </c>
      <c r="F91" s="121">
        <v>63000</v>
      </c>
      <c r="G91" s="121">
        <v>54500</v>
      </c>
      <c r="H91" s="121">
        <f>63000-2250</f>
        <v>60750</v>
      </c>
      <c r="I91" s="121">
        <f t="shared" si="19"/>
        <v>96.428571428571431</v>
      </c>
    </row>
    <row r="92" spans="1:9" s="101" customFormat="1" ht="36">
      <c r="A92" s="128" t="s">
        <v>594</v>
      </c>
      <c r="B92" s="129" t="s">
        <v>334</v>
      </c>
      <c r="C92" s="125"/>
      <c r="D92" s="125"/>
      <c r="E92" s="125"/>
      <c r="F92" s="126">
        <f>F93++F100+F105+F112+F119+F126</f>
        <v>923419.70918999997</v>
      </c>
      <c r="G92" s="126">
        <f t="shared" ref="G92:H92" si="26">G93++G100+G105+G112+G119+G126</f>
        <v>629020.04689</v>
      </c>
      <c r="H92" s="126">
        <f t="shared" si="26"/>
        <v>921314.81518999999</v>
      </c>
      <c r="I92" s="126">
        <f t="shared" si="19"/>
        <v>99.772054464611088</v>
      </c>
    </row>
    <row r="93" spans="1:9" s="101" customFormat="1" ht="36">
      <c r="A93" s="110" t="s">
        <v>239</v>
      </c>
      <c r="B93" s="111" t="s">
        <v>595</v>
      </c>
      <c r="C93" s="111"/>
      <c r="D93" s="111"/>
      <c r="E93" s="111"/>
      <c r="F93" s="112">
        <f>F94</f>
        <v>27715.064190000001</v>
      </c>
      <c r="G93" s="112">
        <f t="shared" ref="G93:H94" si="27">G94</f>
        <v>9755.3119999999999</v>
      </c>
      <c r="H93" s="112">
        <f t="shared" si="27"/>
        <v>25938.064190000001</v>
      </c>
      <c r="I93" s="112">
        <f t="shared" si="19"/>
        <v>93.588324429567194</v>
      </c>
    </row>
    <row r="94" spans="1:9" s="101" customFormat="1" ht="12">
      <c r="A94" s="51" t="s">
        <v>363</v>
      </c>
      <c r="B94" s="111" t="s">
        <v>595</v>
      </c>
      <c r="C94" s="21" t="s">
        <v>78</v>
      </c>
      <c r="D94" s="21"/>
      <c r="E94" s="111"/>
      <c r="F94" s="112">
        <f>F95</f>
        <v>27715.064190000001</v>
      </c>
      <c r="G94" s="112">
        <f t="shared" si="27"/>
        <v>9755.3119999999999</v>
      </c>
      <c r="H94" s="112">
        <f t="shared" si="27"/>
        <v>25938.064190000001</v>
      </c>
      <c r="I94" s="112">
        <f t="shared" si="19"/>
        <v>93.588324429567194</v>
      </c>
    </row>
    <row r="95" spans="1:9" s="101" customFormat="1" ht="12">
      <c r="A95" s="51" t="s">
        <v>397</v>
      </c>
      <c r="B95" s="111" t="s">
        <v>595</v>
      </c>
      <c r="C95" s="21" t="s">
        <v>78</v>
      </c>
      <c r="D95" s="21" t="s">
        <v>484</v>
      </c>
      <c r="E95" s="111"/>
      <c r="F95" s="112">
        <f>F96+F98</f>
        <v>27715.064190000001</v>
      </c>
      <c r="G95" s="112">
        <f t="shared" ref="G95:H95" si="28">G96+G98</f>
        <v>9755.3119999999999</v>
      </c>
      <c r="H95" s="112">
        <f t="shared" si="28"/>
        <v>25938.064190000001</v>
      </c>
      <c r="I95" s="112">
        <f t="shared" si="19"/>
        <v>93.588324429567194</v>
      </c>
    </row>
    <row r="96" spans="1:9" s="101" customFormat="1" ht="24">
      <c r="A96" s="119" t="s">
        <v>596</v>
      </c>
      <c r="B96" s="120" t="s">
        <v>595</v>
      </c>
      <c r="C96" s="120" t="s">
        <v>78</v>
      </c>
      <c r="D96" s="120" t="s">
        <v>484</v>
      </c>
      <c r="E96" s="120" t="s">
        <v>84</v>
      </c>
      <c r="F96" s="121">
        <f>F97</f>
        <v>27078.39819</v>
      </c>
      <c r="G96" s="121">
        <f t="shared" ref="G96:H96" si="29">G97</f>
        <v>9118.6460000000006</v>
      </c>
      <c r="H96" s="121">
        <f t="shared" si="29"/>
        <v>25301.39819</v>
      </c>
      <c r="I96" s="121">
        <f t="shared" si="19"/>
        <v>93.437573420955744</v>
      </c>
    </row>
    <row r="97" spans="1:9" s="101" customFormat="1" ht="24">
      <c r="A97" s="119" t="s">
        <v>85</v>
      </c>
      <c r="B97" s="120" t="s">
        <v>595</v>
      </c>
      <c r="C97" s="120" t="s">
        <v>78</v>
      </c>
      <c r="D97" s="120" t="s">
        <v>484</v>
      </c>
      <c r="E97" s="120" t="s">
        <v>86</v>
      </c>
      <c r="F97" s="121">
        <f>19534+8181.06419-636.666</f>
        <v>27078.39819</v>
      </c>
      <c r="G97" s="121">
        <v>9118.6460000000006</v>
      </c>
      <c r="H97" s="121">
        <f>19534+8181.06419-636.666-1777</f>
        <v>25301.39819</v>
      </c>
      <c r="I97" s="121">
        <f t="shared" si="19"/>
        <v>93.437573420955744</v>
      </c>
    </row>
    <row r="98" spans="1:9" s="101" customFormat="1" ht="24">
      <c r="A98" s="119" t="s">
        <v>433</v>
      </c>
      <c r="B98" s="120" t="s">
        <v>595</v>
      </c>
      <c r="C98" s="120" t="s">
        <v>78</v>
      </c>
      <c r="D98" s="120" t="s">
        <v>484</v>
      </c>
      <c r="E98" s="120" t="s">
        <v>434</v>
      </c>
      <c r="F98" s="121">
        <f>F99</f>
        <v>636.66600000000005</v>
      </c>
      <c r="G98" s="121">
        <f t="shared" ref="G98:H98" si="30">G99</f>
        <v>636.66600000000005</v>
      </c>
      <c r="H98" s="121">
        <f t="shared" si="30"/>
        <v>636.66600000000005</v>
      </c>
      <c r="I98" s="121">
        <f t="shared" si="19"/>
        <v>100</v>
      </c>
    </row>
    <row r="99" spans="1:9" s="101" customFormat="1" ht="12">
      <c r="A99" s="119" t="s">
        <v>435</v>
      </c>
      <c r="B99" s="120" t="s">
        <v>595</v>
      </c>
      <c r="C99" s="120" t="s">
        <v>78</v>
      </c>
      <c r="D99" s="120" t="s">
        <v>484</v>
      </c>
      <c r="E99" s="120" t="s">
        <v>436</v>
      </c>
      <c r="F99" s="121">
        <v>636.66600000000005</v>
      </c>
      <c r="G99" s="121">
        <v>636.66600000000005</v>
      </c>
      <c r="H99" s="121">
        <v>636.66600000000005</v>
      </c>
      <c r="I99" s="121">
        <f t="shared" si="19"/>
        <v>100</v>
      </c>
    </row>
    <row r="100" spans="1:9" s="101" customFormat="1" ht="12">
      <c r="A100" s="110" t="s">
        <v>228</v>
      </c>
      <c r="B100" s="111" t="s">
        <v>597</v>
      </c>
      <c r="C100" s="111"/>
      <c r="D100" s="111"/>
      <c r="E100" s="111"/>
      <c r="F100" s="112">
        <f>F101</f>
        <v>33888.93</v>
      </c>
      <c r="G100" s="112">
        <f t="shared" ref="G100:H103" si="31">G101</f>
        <v>29571.143889999999</v>
      </c>
      <c r="H100" s="112">
        <f t="shared" si="31"/>
        <v>33888.93</v>
      </c>
      <c r="I100" s="112">
        <f t="shared" si="19"/>
        <v>100</v>
      </c>
    </row>
    <row r="101" spans="1:9" s="101" customFormat="1" ht="12">
      <c r="A101" s="51" t="s">
        <v>363</v>
      </c>
      <c r="B101" s="111" t="s">
        <v>597</v>
      </c>
      <c r="C101" s="21" t="s">
        <v>78</v>
      </c>
      <c r="D101" s="21"/>
      <c r="E101" s="111"/>
      <c r="F101" s="112">
        <f>F102</f>
        <v>33888.93</v>
      </c>
      <c r="G101" s="112">
        <f t="shared" si="31"/>
        <v>29571.143889999999</v>
      </c>
      <c r="H101" s="112">
        <f t="shared" si="31"/>
        <v>33888.93</v>
      </c>
      <c r="I101" s="112">
        <f t="shared" si="19"/>
        <v>100</v>
      </c>
    </row>
    <row r="102" spans="1:9" s="101" customFormat="1" ht="12">
      <c r="A102" s="51" t="s">
        <v>397</v>
      </c>
      <c r="B102" s="111" t="s">
        <v>597</v>
      </c>
      <c r="C102" s="21" t="s">
        <v>78</v>
      </c>
      <c r="D102" s="21" t="s">
        <v>484</v>
      </c>
      <c r="E102" s="111"/>
      <c r="F102" s="112">
        <f>F103</f>
        <v>33888.93</v>
      </c>
      <c r="G102" s="112">
        <f t="shared" si="31"/>
        <v>29571.143889999999</v>
      </c>
      <c r="H102" s="112">
        <f t="shared" si="31"/>
        <v>33888.93</v>
      </c>
      <c r="I102" s="112">
        <f t="shared" si="19"/>
        <v>100</v>
      </c>
    </row>
    <row r="103" spans="1:9" s="101" customFormat="1" ht="24">
      <c r="A103" s="119" t="s">
        <v>596</v>
      </c>
      <c r="B103" s="120" t="s">
        <v>597</v>
      </c>
      <c r="C103" s="120" t="s">
        <v>78</v>
      </c>
      <c r="D103" s="120" t="s">
        <v>484</v>
      </c>
      <c r="E103" s="120" t="s">
        <v>84</v>
      </c>
      <c r="F103" s="121">
        <f>F104</f>
        <v>33888.93</v>
      </c>
      <c r="G103" s="121">
        <f t="shared" si="31"/>
        <v>29571.143889999999</v>
      </c>
      <c r="H103" s="121">
        <f t="shared" si="31"/>
        <v>33888.93</v>
      </c>
      <c r="I103" s="121">
        <f t="shared" si="19"/>
        <v>100</v>
      </c>
    </row>
    <row r="104" spans="1:9" s="101" customFormat="1" ht="24">
      <c r="A104" s="119" t="s">
        <v>85</v>
      </c>
      <c r="B104" s="120" t="s">
        <v>597</v>
      </c>
      <c r="C104" s="120" t="s">
        <v>78</v>
      </c>
      <c r="D104" s="120" t="s">
        <v>484</v>
      </c>
      <c r="E104" s="120" t="s">
        <v>86</v>
      </c>
      <c r="F104" s="121">
        <f>37562-2232.72-1365.35-75</f>
        <v>33888.93</v>
      </c>
      <c r="G104" s="121">
        <v>29571.143889999999</v>
      </c>
      <c r="H104" s="121">
        <f>37562-2232.72-1365.35-75</f>
        <v>33888.93</v>
      </c>
      <c r="I104" s="121">
        <f t="shared" si="19"/>
        <v>100</v>
      </c>
    </row>
    <row r="105" spans="1:9" s="101" customFormat="1" ht="24">
      <c r="A105" s="110" t="s">
        <v>598</v>
      </c>
      <c r="B105" s="111" t="s">
        <v>43</v>
      </c>
      <c r="C105" s="111"/>
      <c r="D105" s="111"/>
      <c r="E105" s="111"/>
      <c r="F105" s="134">
        <f>F106</f>
        <v>313475.59899999999</v>
      </c>
      <c r="G105" s="134">
        <f t="shared" ref="G105:H106" si="32">G106</f>
        <v>207587.77799</v>
      </c>
      <c r="H105" s="134">
        <f t="shared" si="32"/>
        <v>313475.59899999999</v>
      </c>
      <c r="I105" s="112">
        <f t="shared" si="19"/>
        <v>100</v>
      </c>
    </row>
    <row r="106" spans="1:9" s="101" customFormat="1" ht="12">
      <c r="A106" s="51" t="s">
        <v>363</v>
      </c>
      <c r="B106" s="111" t="s">
        <v>43</v>
      </c>
      <c r="C106" s="21" t="s">
        <v>78</v>
      </c>
      <c r="D106" s="21"/>
      <c r="E106" s="125"/>
      <c r="F106" s="134">
        <f>F107</f>
        <v>313475.59899999999</v>
      </c>
      <c r="G106" s="134">
        <f t="shared" si="32"/>
        <v>207587.77799</v>
      </c>
      <c r="H106" s="134">
        <f t="shared" si="32"/>
        <v>313475.59899999999</v>
      </c>
      <c r="I106" s="112">
        <f t="shared" si="19"/>
        <v>100</v>
      </c>
    </row>
    <row r="107" spans="1:9" s="101" customFormat="1" ht="12">
      <c r="A107" s="51" t="s">
        <v>397</v>
      </c>
      <c r="B107" s="111" t="s">
        <v>43</v>
      </c>
      <c r="C107" s="21" t="s">
        <v>78</v>
      </c>
      <c r="D107" s="21" t="s">
        <v>484</v>
      </c>
      <c r="E107" s="125"/>
      <c r="F107" s="134">
        <f>F108+F110</f>
        <v>313475.59899999999</v>
      </c>
      <c r="G107" s="134">
        <f t="shared" ref="G107:H107" si="33">G108+G110</f>
        <v>207587.77799</v>
      </c>
      <c r="H107" s="134">
        <f t="shared" si="33"/>
        <v>313475.59899999999</v>
      </c>
      <c r="I107" s="112">
        <f t="shared" si="19"/>
        <v>100</v>
      </c>
    </row>
    <row r="108" spans="1:9" s="101" customFormat="1" ht="24">
      <c r="A108" s="119" t="s">
        <v>596</v>
      </c>
      <c r="B108" s="120" t="s">
        <v>43</v>
      </c>
      <c r="C108" s="120" t="s">
        <v>78</v>
      </c>
      <c r="D108" s="120" t="s">
        <v>484</v>
      </c>
      <c r="E108" s="120" t="s">
        <v>84</v>
      </c>
      <c r="F108" s="135">
        <f>F109</f>
        <v>311100.59899999999</v>
      </c>
      <c r="G108" s="135">
        <f t="shared" ref="G108:H108" si="34">G109</f>
        <v>205212.77799</v>
      </c>
      <c r="H108" s="135">
        <f t="shared" si="34"/>
        <v>311100.59899999999</v>
      </c>
      <c r="I108" s="121">
        <f t="shared" si="19"/>
        <v>100</v>
      </c>
    </row>
    <row r="109" spans="1:9" s="101" customFormat="1" ht="24">
      <c r="A109" s="119" t="s">
        <v>85</v>
      </c>
      <c r="B109" s="120" t="s">
        <v>43</v>
      </c>
      <c r="C109" s="120" t="s">
        <v>78</v>
      </c>
      <c r="D109" s="120" t="s">
        <v>484</v>
      </c>
      <c r="E109" s="120" t="s">
        <v>86</v>
      </c>
      <c r="F109" s="135">
        <f>151753.82-24750-2375+150000+11721.779+10800+13950</f>
        <v>311100.59899999999</v>
      </c>
      <c r="G109" s="135">
        <v>205212.77799</v>
      </c>
      <c r="H109" s="135">
        <f>151753.82-24750-2375+150000+11721.779+10800+13950</f>
        <v>311100.59899999999</v>
      </c>
      <c r="I109" s="121">
        <f t="shared" si="19"/>
        <v>100</v>
      </c>
    </row>
    <row r="110" spans="1:9" s="101" customFormat="1" ht="24">
      <c r="A110" s="119" t="s">
        <v>433</v>
      </c>
      <c r="B110" s="120" t="s">
        <v>43</v>
      </c>
      <c r="C110" s="120" t="s">
        <v>78</v>
      </c>
      <c r="D110" s="120" t="s">
        <v>484</v>
      </c>
      <c r="E110" s="120" t="s">
        <v>434</v>
      </c>
      <c r="F110" s="135">
        <f>F111</f>
        <v>2375</v>
      </c>
      <c r="G110" s="135">
        <f t="shared" ref="G110:H110" si="35">G111</f>
        <v>2375</v>
      </c>
      <c r="H110" s="135">
        <f t="shared" si="35"/>
        <v>2375</v>
      </c>
      <c r="I110" s="121">
        <f t="shared" si="19"/>
        <v>100</v>
      </c>
    </row>
    <row r="111" spans="1:9" s="101" customFormat="1" ht="12">
      <c r="A111" s="119" t="s">
        <v>435</v>
      </c>
      <c r="B111" s="120" t="s">
        <v>43</v>
      </c>
      <c r="C111" s="120" t="s">
        <v>78</v>
      </c>
      <c r="D111" s="120" t="s">
        <v>484</v>
      </c>
      <c r="E111" s="120" t="s">
        <v>436</v>
      </c>
      <c r="F111" s="135">
        <f>24750+2375-10800-13950</f>
        <v>2375</v>
      </c>
      <c r="G111" s="135">
        <v>2375</v>
      </c>
      <c r="H111" s="135">
        <f>24750+2375-10800-13950</f>
        <v>2375</v>
      </c>
      <c r="I111" s="121">
        <f t="shared" si="19"/>
        <v>100</v>
      </c>
    </row>
    <row r="112" spans="1:9" s="101" customFormat="1" ht="36">
      <c r="A112" s="110" t="s">
        <v>240</v>
      </c>
      <c r="B112" s="111" t="s">
        <v>44</v>
      </c>
      <c r="C112" s="111"/>
      <c r="D112" s="111"/>
      <c r="E112" s="111"/>
      <c r="F112" s="134">
        <f>F113</f>
        <v>19570.419999999998</v>
      </c>
      <c r="G112" s="134">
        <f t="shared" ref="G112:H113" si="36">G113</f>
        <v>8736.6880099999998</v>
      </c>
      <c r="H112" s="134">
        <f t="shared" si="36"/>
        <v>19570.419999999998</v>
      </c>
      <c r="I112" s="112">
        <f t="shared" si="19"/>
        <v>100</v>
      </c>
    </row>
    <row r="113" spans="1:9" s="101" customFormat="1" ht="12">
      <c r="A113" s="51" t="s">
        <v>363</v>
      </c>
      <c r="B113" s="111" t="s">
        <v>44</v>
      </c>
      <c r="C113" s="21" t="s">
        <v>78</v>
      </c>
      <c r="D113" s="21"/>
      <c r="E113" s="125"/>
      <c r="F113" s="134">
        <f>F114</f>
        <v>19570.419999999998</v>
      </c>
      <c r="G113" s="134">
        <f t="shared" si="36"/>
        <v>8736.6880099999998</v>
      </c>
      <c r="H113" s="134">
        <f t="shared" si="36"/>
        <v>19570.419999999998</v>
      </c>
      <c r="I113" s="112">
        <f t="shared" si="19"/>
        <v>100</v>
      </c>
    </row>
    <row r="114" spans="1:9" s="101" customFormat="1" ht="12">
      <c r="A114" s="51" t="s">
        <v>397</v>
      </c>
      <c r="B114" s="111" t="s">
        <v>44</v>
      </c>
      <c r="C114" s="21" t="s">
        <v>78</v>
      </c>
      <c r="D114" s="21" t="s">
        <v>484</v>
      </c>
      <c r="E114" s="125"/>
      <c r="F114" s="134">
        <f>F115+F117</f>
        <v>19570.419999999998</v>
      </c>
      <c r="G114" s="134">
        <f t="shared" ref="G114:H114" si="37">G115+G117</f>
        <v>8736.6880099999998</v>
      </c>
      <c r="H114" s="134">
        <f t="shared" si="37"/>
        <v>19570.419999999998</v>
      </c>
      <c r="I114" s="112">
        <f t="shared" si="19"/>
        <v>100</v>
      </c>
    </row>
    <row r="115" spans="1:9" s="101" customFormat="1" ht="24">
      <c r="A115" s="119" t="s">
        <v>596</v>
      </c>
      <c r="B115" s="120" t="s">
        <v>44</v>
      </c>
      <c r="C115" s="120" t="s">
        <v>78</v>
      </c>
      <c r="D115" s="120" t="s">
        <v>484</v>
      </c>
      <c r="E115" s="120" t="s">
        <v>84</v>
      </c>
      <c r="F115" s="135">
        <f>F116</f>
        <v>19445.419999999998</v>
      </c>
      <c r="G115" s="135">
        <f t="shared" ref="G115:H115" si="38">G116</f>
        <v>8611.6880099999998</v>
      </c>
      <c r="H115" s="135">
        <f t="shared" si="38"/>
        <v>19445.419999999998</v>
      </c>
      <c r="I115" s="121">
        <f t="shared" si="19"/>
        <v>100</v>
      </c>
    </row>
    <row r="116" spans="1:9" s="101" customFormat="1" ht="24">
      <c r="A116" s="119" t="s">
        <v>85</v>
      </c>
      <c r="B116" s="120" t="s">
        <v>44</v>
      </c>
      <c r="C116" s="120" t="s">
        <v>78</v>
      </c>
      <c r="D116" s="120" t="s">
        <v>484</v>
      </c>
      <c r="E116" s="120" t="s">
        <v>86</v>
      </c>
      <c r="F116" s="135">
        <f>10623-2750+2232.72-125+1200+6714.7+1550</f>
        <v>19445.419999999998</v>
      </c>
      <c r="G116" s="135">
        <v>8611.6880099999998</v>
      </c>
      <c r="H116" s="135">
        <f>10623-2750+2232.72-125+1200+6714.7+1550</f>
        <v>19445.419999999998</v>
      </c>
      <c r="I116" s="121">
        <f t="shared" si="19"/>
        <v>100</v>
      </c>
    </row>
    <row r="117" spans="1:9" s="101" customFormat="1" ht="24">
      <c r="A117" s="119" t="s">
        <v>433</v>
      </c>
      <c r="B117" s="120" t="s">
        <v>44</v>
      </c>
      <c r="C117" s="120" t="s">
        <v>78</v>
      </c>
      <c r="D117" s="120" t="s">
        <v>484</v>
      </c>
      <c r="E117" s="120" t="s">
        <v>434</v>
      </c>
      <c r="F117" s="135">
        <f>F118</f>
        <v>125</v>
      </c>
      <c r="G117" s="135">
        <f t="shared" ref="G117:H117" si="39">G118</f>
        <v>125</v>
      </c>
      <c r="H117" s="135">
        <f t="shared" si="39"/>
        <v>125</v>
      </c>
      <c r="I117" s="121">
        <f t="shared" si="19"/>
        <v>100</v>
      </c>
    </row>
    <row r="118" spans="1:9" s="101" customFormat="1" ht="12">
      <c r="A118" s="119" t="s">
        <v>435</v>
      </c>
      <c r="B118" s="120" t="s">
        <v>44</v>
      </c>
      <c r="C118" s="120" t="s">
        <v>78</v>
      </c>
      <c r="D118" s="120" t="s">
        <v>484</v>
      </c>
      <c r="E118" s="120" t="s">
        <v>436</v>
      </c>
      <c r="F118" s="135">
        <f>2750+125-1200-1550</f>
        <v>125</v>
      </c>
      <c r="G118" s="135">
        <v>125</v>
      </c>
      <c r="H118" s="135">
        <v>125</v>
      </c>
      <c r="I118" s="121">
        <f t="shared" si="19"/>
        <v>100</v>
      </c>
    </row>
    <row r="119" spans="1:9" s="101" customFormat="1" ht="48">
      <c r="A119" s="110" t="s">
        <v>707</v>
      </c>
      <c r="B119" s="111" t="s">
        <v>587</v>
      </c>
      <c r="C119" s="111"/>
      <c r="D119" s="111"/>
      <c r="E119" s="111"/>
      <c r="F119" s="134">
        <f>F120</f>
        <v>400000</v>
      </c>
      <c r="G119" s="134">
        <f t="shared" ref="G119:H120" si="40">G120</f>
        <v>272246.82900000003</v>
      </c>
      <c r="H119" s="134">
        <f t="shared" si="40"/>
        <v>400000</v>
      </c>
      <c r="I119" s="112">
        <f t="shared" si="19"/>
        <v>100</v>
      </c>
    </row>
    <row r="120" spans="1:9" s="101" customFormat="1" ht="12">
      <c r="A120" s="51" t="s">
        <v>363</v>
      </c>
      <c r="B120" s="111" t="s">
        <v>587</v>
      </c>
      <c r="C120" s="21" t="s">
        <v>78</v>
      </c>
      <c r="D120" s="21"/>
      <c r="E120" s="111"/>
      <c r="F120" s="134">
        <f>F121</f>
        <v>400000</v>
      </c>
      <c r="G120" s="134">
        <f t="shared" si="40"/>
        <v>272246.82900000003</v>
      </c>
      <c r="H120" s="134">
        <f t="shared" si="40"/>
        <v>400000</v>
      </c>
      <c r="I120" s="112">
        <f t="shared" si="19"/>
        <v>100</v>
      </c>
    </row>
    <row r="121" spans="1:9" s="101" customFormat="1" ht="12">
      <c r="A121" s="51" t="s">
        <v>397</v>
      </c>
      <c r="B121" s="111" t="s">
        <v>587</v>
      </c>
      <c r="C121" s="21" t="s">
        <v>78</v>
      </c>
      <c r="D121" s="21" t="s">
        <v>484</v>
      </c>
      <c r="E121" s="111"/>
      <c r="F121" s="134">
        <f>F122+F124</f>
        <v>400000</v>
      </c>
      <c r="G121" s="134">
        <f t="shared" ref="G121:H121" si="41">G122+G124</f>
        <v>272246.82900000003</v>
      </c>
      <c r="H121" s="134">
        <f t="shared" si="41"/>
        <v>400000</v>
      </c>
      <c r="I121" s="112">
        <f t="shared" si="19"/>
        <v>100</v>
      </c>
    </row>
    <row r="122" spans="1:9" s="101" customFormat="1" ht="24">
      <c r="A122" s="119" t="s">
        <v>596</v>
      </c>
      <c r="B122" s="120" t="s">
        <v>587</v>
      </c>
      <c r="C122" s="120" t="s">
        <v>78</v>
      </c>
      <c r="D122" s="120" t="s">
        <v>484</v>
      </c>
      <c r="E122" s="120" t="s">
        <v>84</v>
      </c>
      <c r="F122" s="135">
        <f>F123</f>
        <v>329000</v>
      </c>
      <c r="G122" s="135">
        <f t="shared" ref="G122:H122" si="42">G123</f>
        <v>239047.76800000001</v>
      </c>
      <c r="H122" s="135">
        <f t="shared" si="42"/>
        <v>329000</v>
      </c>
      <c r="I122" s="121">
        <f t="shared" si="19"/>
        <v>100</v>
      </c>
    </row>
    <row r="123" spans="1:9" s="101" customFormat="1" ht="24">
      <c r="A123" s="119" t="s">
        <v>85</v>
      </c>
      <c r="B123" s="120" t="s">
        <v>587</v>
      </c>
      <c r="C123" s="120" t="s">
        <v>78</v>
      </c>
      <c r="D123" s="120" t="s">
        <v>484</v>
      </c>
      <c r="E123" s="120" t="s">
        <v>86</v>
      </c>
      <c r="F123" s="135">
        <v>329000</v>
      </c>
      <c r="G123" s="135">
        <v>239047.76800000001</v>
      </c>
      <c r="H123" s="135">
        <v>329000</v>
      </c>
      <c r="I123" s="121">
        <f t="shared" si="19"/>
        <v>100</v>
      </c>
    </row>
    <row r="124" spans="1:9" s="101" customFormat="1" ht="24">
      <c r="A124" s="119" t="s">
        <v>433</v>
      </c>
      <c r="B124" s="120" t="s">
        <v>587</v>
      </c>
      <c r="C124" s="120" t="s">
        <v>78</v>
      </c>
      <c r="D124" s="120" t="s">
        <v>484</v>
      </c>
      <c r="E124" s="120" t="s">
        <v>434</v>
      </c>
      <c r="F124" s="135">
        <f>F125</f>
        <v>71000</v>
      </c>
      <c r="G124" s="135">
        <f t="shared" ref="G124:H124" si="43">G125</f>
        <v>33199.061000000002</v>
      </c>
      <c r="H124" s="135">
        <f t="shared" si="43"/>
        <v>71000</v>
      </c>
      <c r="I124" s="121">
        <f t="shared" si="19"/>
        <v>100</v>
      </c>
    </row>
    <row r="125" spans="1:9" s="101" customFormat="1" ht="12">
      <c r="A125" s="119" t="s">
        <v>435</v>
      </c>
      <c r="B125" s="120" t="s">
        <v>587</v>
      </c>
      <c r="C125" s="120" t="s">
        <v>78</v>
      </c>
      <c r="D125" s="120" t="s">
        <v>484</v>
      </c>
      <c r="E125" s="120" t="s">
        <v>436</v>
      </c>
      <c r="F125" s="135">
        <v>71000</v>
      </c>
      <c r="G125" s="135">
        <v>33199.061000000002</v>
      </c>
      <c r="H125" s="135">
        <v>71000</v>
      </c>
      <c r="I125" s="121">
        <f t="shared" si="19"/>
        <v>100</v>
      </c>
    </row>
    <row r="126" spans="1:9" s="101" customFormat="1" ht="24">
      <c r="A126" s="110" t="s">
        <v>588</v>
      </c>
      <c r="B126" s="111" t="s">
        <v>589</v>
      </c>
      <c r="C126" s="111"/>
      <c r="D126" s="111"/>
      <c r="E126" s="111"/>
      <c r="F126" s="134">
        <f>F127</f>
        <v>128769.696</v>
      </c>
      <c r="G126" s="134">
        <f t="shared" ref="G126:H127" si="44">G127</f>
        <v>101122.296</v>
      </c>
      <c r="H126" s="134">
        <f t="shared" si="44"/>
        <v>128441.802</v>
      </c>
      <c r="I126" s="112">
        <f t="shared" si="19"/>
        <v>99.745364002412501</v>
      </c>
    </row>
    <row r="127" spans="1:9" s="101" customFormat="1" ht="12">
      <c r="A127" s="51" t="s">
        <v>363</v>
      </c>
      <c r="B127" s="21" t="s">
        <v>589</v>
      </c>
      <c r="C127" s="21" t="s">
        <v>78</v>
      </c>
      <c r="D127" s="21"/>
      <c r="E127" s="111"/>
      <c r="F127" s="134">
        <f>F128</f>
        <v>128769.696</v>
      </c>
      <c r="G127" s="134">
        <f t="shared" si="44"/>
        <v>101122.296</v>
      </c>
      <c r="H127" s="134">
        <f t="shared" si="44"/>
        <v>128441.802</v>
      </c>
      <c r="I127" s="112">
        <f t="shared" si="19"/>
        <v>99.745364002412501</v>
      </c>
    </row>
    <row r="128" spans="1:9" s="101" customFormat="1" ht="12">
      <c r="A128" s="51" t="s">
        <v>397</v>
      </c>
      <c r="B128" s="21" t="s">
        <v>589</v>
      </c>
      <c r="C128" s="21" t="s">
        <v>78</v>
      </c>
      <c r="D128" s="21" t="s">
        <v>484</v>
      </c>
      <c r="E128" s="111"/>
      <c r="F128" s="134">
        <f>F129+F131</f>
        <v>128769.696</v>
      </c>
      <c r="G128" s="134">
        <f t="shared" ref="G128:H128" si="45">G129+G131</f>
        <v>101122.296</v>
      </c>
      <c r="H128" s="134">
        <f t="shared" si="45"/>
        <v>128441.802</v>
      </c>
      <c r="I128" s="112">
        <f t="shared" si="19"/>
        <v>99.745364002412501</v>
      </c>
    </row>
    <row r="129" spans="1:9" s="101" customFormat="1" ht="24">
      <c r="A129" s="119" t="s">
        <v>596</v>
      </c>
      <c r="B129" s="120" t="s">
        <v>589</v>
      </c>
      <c r="C129" s="120" t="s">
        <v>78</v>
      </c>
      <c r="D129" s="120" t="s">
        <v>484</v>
      </c>
      <c r="E129" s="120" t="s">
        <v>84</v>
      </c>
      <c r="F129" s="135">
        <f>F130</f>
        <v>119964.246</v>
      </c>
      <c r="G129" s="135">
        <f t="shared" ref="G129:H129" si="46">G130</f>
        <v>101122.296</v>
      </c>
      <c r="H129" s="135">
        <f t="shared" si="46"/>
        <v>119636.352</v>
      </c>
      <c r="I129" s="121">
        <f t="shared" si="19"/>
        <v>99.726673562387916</v>
      </c>
    </row>
    <row r="130" spans="1:9" s="101" customFormat="1" ht="24">
      <c r="A130" s="119" t="s">
        <v>85</v>
      </c>
      <c r="B130" s="120" t="s">
        <v>589</v>
      </c>
      <c r="C130" s="120" t="s">
        <v>78</v>
      </c>
      <c r="D130" s="120" t="s">
        <v>484</v>
      </c>
      <c r="E130" s="120" t="s">
        <v>86</v>
      </c>
      <c r="F130" s="135">
        <f>91437.55+28526.696</f>
        <v>119964.246</v>
      </c>
      <c r="G130" s="135">
        <v>101122.296</v>
      </c>
      <c r="H130" s="135">
        <f>91437.55+28526.696-327.894</f>
        <v>119636.352</v>
      </c>
      <c r="I130" s="121">
        <f t="shared" si="19"/>
        <v>99.726673562387916</v>
      </c>
    </row>
    <row r="131" spans="1:9" s="101" customFormat="1" ht="24">
      <c r="A131" s="119" t="s">
        <v>433</v>
      </c>
      <c r="B131" s="120" t="s">
        <v>589</v>
      </c>
      <c r="C131" s="120" t="s">
        <v>78</v>
      </c>
      <c r="D131" s="120" t="s">
        <v>484</v>
      </c>
      <c r="E131" s="120" t="s">
        <v>434</v>
      </c>
      <c r="F131" s="135">
        <f>F132</f>
        <v>8805.4500000000007</v>
      </c>
      <c r="G131" s="135">
        <f t="shared" ref="G131:H131" si="47">G132</f>
        <v>0</v>
      </c>
      <c r="H131" s="135">
        <f t="shared" si="47"/>
        <v>8805.4500000000007</v>
      </c>
      <c r="I131" s="121">
        <f t="shared" si="19"/>
        <v>100</v>
      </c>
    </row>
    <row r="132" spans="1:9" s="101" customFormat="1" ht="12">
      <c r="A132" s="119" t="s">
        <v>435</v>
      </c>
      <c r="B132" s="120" t="s">
        <v>589</v>
      </c>
      <c r="C132" s="120" t="s">
        <v>78</v>
      </c>
      <c r="D132" s="120" t="s">
        <v>484</v>
      </c>
      <c r="E132" s="120" t="s">
        <v>436</v>
      </c>
      <c r="F132" s="135">
        <v>8805.4500000000007</v>
      </c>
      <c r="G132" s="135">
        <v>0</v>
      </c>
      <c r="H132" s="135">
        <v>8805.4500000000007</v>
      </c>
      <c r="I132" s="121">
        <f t="shared" si="19"/>
        <v>100</v>
      </c>
    </row>
    <row r="133" spans="1:9" s="101" customFormat="1" ht="24">
      <c r="A133" s="124" t="s">
        <v>456</v>
      </c>
      <c r="B133" s="125" t="s">
        <v>329</v>
      </c>
      <c r="C133" s="125"/>
      <c r="D133" s="125"/>
      <c r="E133" s="125"/>
      <c r="F133" s="126">
        <f>F134+F144</f>
        <v>40109.300000000003</v>
      </c>
      <c r="G133" s="126">
        <f t="shared" ref="G133:H133" si="48">G134+G144</f>
        <v>25594.164580000001</v>
      </c>
      <c r="H133" s="126">
        <f t="shared" si="48"/>
        <v>40109.300000000003</v>
      </c>
      <c r="I133" s="126">
        <f t="shared" si="19"/>
        <v>100</v>
      </c>
    </row>
    <row r="134" spans="1:9" s="101" customFormat="1" ht="12">
      <c r="A134" s="159" t="s">
        <v>335</v>
      </c>
      <c r="B134" s="160" t="s">
        <v>599</v>
      </c>
      <c r="C134" s="139"/>
      <c r="D134" s="139"/>
      <c r="E134" s="139"/>
      <c r="F134" s="144">
        <f>F135</f>
        <v>4425</v>
      </c>
      <c r="G134" s="144">
        <f t="shared" ref="G134:H136" si="49">G135</f>
        <v>3025.8568700000001</v>
      </c>
      <c r="H134" s="144">
        <f t="shared" si="49"/>
        <v>4425</v>
      </c>
      <c r="I134" s="144">
        <f t="shared" si="19"/>
        <v>100</v>
      </c>
    </row>
    <row r="135" spans="1:9" s="101" customFormat="1" ht="12">
      <c r="A135" s="51" t="s">
        <v>363</v>
      </c>
      <c r="B135" s="142" t="s">
        <v>599</v>
      </c>
      <c r="C135" s="21" t="s">
        <v>78</v>
      </c>
      <c r="D135" s="21"/>
      <c r="E135" s="139"/>
      <c r="F135" s="112">
        <f>F136</f>
        <v>4425</v>
      </c>
      <c r="G135" s="112">
        <f t="shared" si="49"/>
        <v>3025.8568700000001</v>
      </c>
      <c r="H135" s="112">
        <f t="shared" si="49"/>
        <v>4425</v>
      </c>
      <c r="I135" s="112">
        <f t="shared" si="19"/>
        <v>100</v>
      </c>
    </row>
    <row r="136" spans="1:9" s="101" customFormat="1" ht="12">
      <c r="A136" s="51" t="s">
        <v>397</v>
      </c>
      <c r="B136" s="142" t="s">
        <v>599</v>
      </c>
      <c r="C136" s="21" t="s">
        <v>78</v>
      </c>
      <c r="D136" s="21" t="s">
        <v>484</v>
      </c>
      <c r="E136" s="139"/>
      <c r="F136" s="112">
        <f>F137</f>
        <v>4425</v>
      </c>
      <c r="G136" s="112">
        <f t="shared" si="49"/>
        <v>3025.8568700000001</v>
      </c>
      <c r="H136" s="112">
        <f t="shared" si="49"/>
        <v>4425</v>
      </c>
      <c r="I136" s="112">
        <f t="shared" ref="I136:I148" si="50">H136/F136*100</f>
        <v>100</v>
      </c>
    </row>
    <row r="137" spans="1:9" s="101" customFormat="1" ht="24">
      <c r="A137" s="110" t="s">
        <v>485</v>
      </c>
      <c r="B137" s="111" t="s">
        <v>599</v>
      </c>
      <c r="C137" s="111" t="s">
        <v>78</v>
      </c>
      <c r="D137" s="111" t="s">
        <v>484</v>
      </c>
      <c r="E137" s="111"/>
      <c r="F137" s="112">
        <f>F138+F140+F142</f>
        <v>4425</v>
      </c>
      <c r="G137" s="112">
        <f t="shared" ref="G137:H137" si="51">G138+G140+G142</f>
        <v>3025.8568700000001</v>
      </c>
      <c r="H137" s="112">
        <f t="shared" si="51"/>
        <v>4425</v>
      </c>
      <c r="I137" s="112">
        <f t="shared" si="50"/>
        <v>100</v>
      </c>
    </row>
    <row r="138" spans="1:9" s="101" customFormat="1" ht="36">
      <c r="A138" s="119" t="s">
        <v>79</v>
      </c>
      <c r="B138" s="120" t="s">
        <v>599</v>
      </c>
      <c r="C138" s="120" t="s">
        <v>78</v>
      </c>
      <c r="D138" s="120" t="s">
        <v>484</v>
      </c>
      <c r="E138" s="120" t="s">
        <v>80</v>
      </c>
      <c r="F138" s="121">
        <f>F139</f>
        <v>3825</v>
      </c>
      <c r="G138" s="121">
        <f t="shared" ref="G138:H138" si="52">G139</f>
        <v>2703.89975</v>
      </c>
      <c r="H138" s="121">
        <f t="shared" si="52"/>
        <v>3825</v>
      </c>
      <c r="I138" s="121">
        <f t="shared" si="50"/>
        <v>100</v>
      </c>
    </row>
    <row r="139" spans="1:9" s="101" customFormat="1" ht="12">
      <c r="A139" s="119" t="s">
        <v>486</v>
      </c>
      <c r="B139" s="120" t="s">
        <v>599</v>
      </c>
      <c r="C139" s="120" t="s">
        <v>78</v>
      </c>
      <c r="D139" s="120" t="s">
        <v>484</v>
      </c>
      <c r="E139" s="120" t="s">
        <v>487</v>
      </c>
      <c r="F139" s="121">
        <f>3890-65</f>
        <v>3825</v>
      </c>
      <c r="G139" s="121">
        <v>2703.89975</v>
      </c>
      <c r="H139" s="121">
        <f>3890-65</f>
        <v>3825</v>
      </c>
      <c r="I139" s="121">
        <f t="shared" si="50"/>
        <v>100</v>
      </c>
    </row>
    <row r="140" spans="1:9" s="101" customFormat="1" ht="24">
      <c r="A140" s="119" t="s">
        <v>596</v>
      </c>
      <c r="B140" s="120" t="s">
        <v>599</v>
      </c>
      <c r="C140" s="120" t="s">
        <v>78</v>
      </c>
      <c r="D140" s="120" t="s">
        <v>484</v>
      </c>
      <c r="E140" s="120" t="s">
        <v>84</v>
      </c>
      <c r="F140" s="121">
        <f>F141</f>
        <v>405.58100000000002</v>
      </c>
      <c r="G140" s="121">
        <f t="shared" ref="G140:H140" si="53">G141</f>
        <v>163.1</v>
      </c>
      <c r="H140" s="121">
        <f t="shared" si="53"/>
        <v>405.58100000000002</v>
      </c>
      <c r="I140" s="121">
        <f t="shared" si="50"/>
        <v>100</v>
      </c>
    </row>
    <row r="141" spans="1:9" s="101" customFormat="1" ht="24">
      <c r="A141" s="119" t="s">
        <v>85</v>
      </c>
      <c r="B141" s="120" t="s">
        <v>599</v>
      </c>
      <c r="C141" s="120" t="s">
        <v>78</v>
      </c>
      <c r="D141" s="120" t="s">
        <v>484</v>
      </c>
      <c r="E141" s="120" t="s">
        <v>86</v>
      </c>
      <c r="F141" s="121">
        <f>294.7-29.119+65+75</f>
        <v>405.58100000000002</v>
      </c>
      <c r="G141" s="121">
        <v>163.1</v>
      </c>
      <c r="H141" s="121">
        <f>294.7-29.119+65+75</f>
        <v>405.58100000000002</v>
      </c>
      <c r="I141" s="121">
        <f t="shared" si="50"/>
        <v>100</v>
      </c>
    </row>
    <row r="142" spans="1:9" s="101" customFormat="1" ht="12">
      <c r="A142" s="119" t="s">
        <v>87</v>
      </c>
      <c r="B142" s="120" t="s">
        <v>599</v>
      </c>
      <c r="C142" s="120" t="s">
        <v>78</v>
      </c>
      <c r="D142" s="120" t="s">
        <v>484</v>
      </c>
      <c r="E142" s="120" t="s">
        <v>88</v>
      </c>
      <c r="F142" s="121">
        <f>F143</f>
        <v>194.41900000000001</v>
      </c>
      <c r="G142" s="121">
        <f t="shared" ref="G142:H142" si="54">G143</f>
        <v>158.85712000000001</v>
      </c>
      <c r="H142" s="121">
        <f t="shared" si="54"/>
        <v>194.41900000000001</v>
      </c>
      <c r="I142" s="121">
        <f t="shared" si="50"/>
        <v>100</v>
      </c>
    </row>
    <row r="143" spans="1:9" s="101" customFormat="1" ht="12">
      <c r="A143" s="119" t="s">
        <v>155</v>
      </c>
      <c r="B143" s="120" t="s">
        <v>599</v>
      </c>
      <c r="C143" s="120" t="s">
        <v>78</v>
      </c>
      <c r="D143" s="120" t="s">
        <v>484</v>
      </c>
      <c r="E143" s="120" t="s">
        <v>89</v>
      </c>
      <c r="F143" s="121">
        <f>165.3+29.119</f>
        <v>194.41900000000001</v>
      </c>
      <c r="G143" s="121">
        <v>158.85712000000001</v>
      </c>
      <c r="H143" s="121">
        <f>165.3+29.119</f>
        <v>194.41900000000001</v>
      </c>
      <c r="I143" s="121">
        <f t="shared" si="50"/>
        <v>100</v>
      </c>
    </row>
    <row r="144" spans="1:9" s="101" customFormat="1" ht="12">
      <c r="A144" s="128" t="s">
        <v>336</v>
      </c>
      <c r="B144" s="129" t="s">
        <v>600</v>
      </c>
      <c r="C144" s="125"/>
      <c r="D144" s="125"/>
      <c r="E144" s="125"/>
      <c r="F144" s="126">
        <f>F145</f>
        <v>35684.300000000003</v>
      </c>
      <c r="G144" s="126">
        <f t="shared" ref="G144:H147" si="55">G145</f>
        <v>22568.307710000001</v>
      </c>
      <c r="H144" s="126">
        <f t="shared" si="55"/>
        <v>35684.300000000003</v>
      </c>
      <c r="I144" s="126">
        <f t="shared" si="50"/>
        <v>100</v>
      </c>
    </row>
    <row r="145" spans="1:9" s="101" customFormat="1" ht="12">
      <c r="A145" s="51" t="s">
        <v>363</v>
      </c>
      <c r="B145" s="21" t="s">
        <v>600</v>
      </c>
      <c r="C145" s="21" t="s">
        <v>78</v>
      </c>
      <c r="D145" s="21"/>
      <c r="E145" s="125"/>
      <c r="F145" s="112">
        <f>F146</f>
        <v>35684.300000000003</v>
      </c>
      <c r="G145" s="112">
        <f t="shared" si="55"/>
        <v>22568.307710000001</v>
      </c>
      <c r="H145" s="112">
        <f t="shared" si="55"/>
        <v>35684.300000000003</v>
      </c>
      <c r="I145" s="112">
        <f t="shared" si="50"/>
        <v>100</v>
      </c>
    </row>
    <row r="146" spans="1:9" s="101" customFormat="1" ht="12">
      <c r="A146" s="51" t="s">
        <v>397</v>
      </c>
      <c r="B146" s="21" t="s">
        <v>600</v>
      </c>
      <c r="C146" s="21" t="s">
        <v>78</v>
      </c>
      <c r="D146" s="21" t="s">
        <v>484</v>
      </c>
      <c r="E146" s="125"/>
      <c r="F146" s="112">
        <f>F147</f>
        <v>35684.300000000003</v>
      </c>
      <c r="G146" s="112">
        <f t="shared" si="55"/>
        <v>22568.307710000001</v>
      </c>
      <c r="H146" s="112">
        <f t="shared" si="55"/>
        <v>35684.300000000003</v>
      </c>
      <c r="I146" s="112">
        <f t="shared" si="50"/>
        <v>100</v>
      </c>
    </row>
    <row r="147" spans="1:9" s="101" customFormat="1" ht="24">
      <c r="A147" s="119" t="s">
        <v>104</v>
      </c>
      <c r="B147" s="120" t="s">
        <v>600</v>
      </c>
      <c r="C147" s="120" t="s">
        <v>78</v>
      </c>
      <c r="D147" s="120" t="s">
        <v>484</v>
      </c>
      <c r="E147" s="120" t="s">
        <v>408</v>
      </c>
      <c r="F147" s="121">
        <f>F148</f>
        <v>35684.300000000003</v>
      </c>
      <c r="G147" s="121">
        <f t="shared" si="55"/>
        <v>22568.307710000001</v>
      </c>
      <c r="H147" s="121">
        <f t="shared" si="55"/>
        <v>35684.300000000003</v>
      </c>
      <c r="I147" s="121">
        <f t="shared" si="50"/>
        <v>100</v>
      </c>
    </row>
    <row r="148" spans="1:9" s="101" customFormat="1" ht="12">
      <c r="A148" s="119" t="s">
        <v>105</v>
      </c>
      <c r="B148" s="120" t="s">
        <v>600</v>
      </c>
      <c r="C148" s="120" t="s">
        <v>78</v>
      </c>
      <c r="D148" s="120" t="s">
        <v>484</v>
      </c>
      <c r="E148" s="120" t="s">
        <v>425</v>
      </c>
      <c r="F148" s="121">
        <f>13684.3+10000+1000+11000</f>
        <v>35684.300000000003</v>
      </c>
      <c r="G148" s="121">
        <v>22568.307710000001</v>
      </c>
      <c r="H148" s="121">
        <f>13684.3+10000+1000+11000</f>
        <v>35684.300000000003</v>
      </c>
      <c r="I148" s="121">
        <f t="shared" si="50"/>
        <v>100</v>
      </c>
    </row>
    <row r="149" spans="1:9" s="101" customFormat="1" ht="27">
      <c r="A149" s="131" t="s">
        <v>619</v>
      </c>
      <c r="B149" s="191" t="s">
        <v>254</v>
      </c>
      <c r="C149" s="132"/>
      <c r="D149" s="132"/>
      <c r="E149" s="132"/>
      <c r="F149" s="192">
        <f>F150+F155+F160+F165+F170+F175+F180+F185+F190+F199+F204+F209+F223+F228+F233</f>
        <v>389901.81199999998</v>
      </c>
      <c r="G149" s="192">
        <f t="shared" ref="G149:H149" si="56">G150+G155+G160+G165+G170+G175+G180+G185+G190+G199+G204+G209+G223+G228+G233</f>
        <v>317142.17280000006</v>
      </c>
      <c r="H149" s="192">
        <f t="shared" si="56"/>
        <v>387207.82199999999</v>
      </c>
      <c r="I149" s="192">
        <f>H149/F149*100</f>
        <v>99.30905937928803</v>
      </c>
    </row>
    <row r="150" spans="1:9" s="101" customFormat="1" ht="12">
      <c r="A150" s="141" t="s">
        <v>621</v>
      </c>
      <c r="B150" s="111" t="s">
        <v>622</v>
      </c>
      <c r="C150" s="111"/>
      <c r="D150" s="111"/>
      <c r="E150" s="111"/>
      <c r="F150" s="112">
        <f>F151</f>
        <v>14684.8</v>
      </c>
      <c r="G150" s="112">
        <f t="shared" ref="G150:H153" si="57">G151</f>
        <v>9558.5660000000007</v>
      </c>
      <c r="H150" s="112">
        <f t="shared" si="57"/>
        <v>14684.8</v>
      </c>
      <c r="I150" s="126">
        <f t="shared" ref="I150:I208" si="58">H150/F150*100</f>
        <v>100</v>
      </c>
    </row>
    <row r="151" spans="1:9" s="101" customFormat="1" ht="12">
      <c r="A151" s="69" t="s">
        <v>375</v>
      </c>
      <c r="B151" s="111" t="s">
        <v>622</v>
      </c>
      <c r="C151" s="21" t="s">
        <v>432</v>
      </c>
      <c r="D151" s="21"/>
      <c r="E151" s="21"/>
      <c r="F151" s="38">
        <f>F152</f>
        <v>14684.8</v>
      </c>
      <c r="G151" s="38">
        <f t="shared" si="57"/>
        <v>9558.5660000000007</v>
      </c>
      <c r="H151" s="38">
        <f t="shared" si="57"/>
        <v>14684.8</v>
      </c>
      <c r="I151" s="112">
        <f t="shared" si="58"/>
        <v>100</v>
      </c>
    </row>
    <row r="152" spans="1:9" s="101" customFormat="1" ht="12">
      <c r="A152" s="69" t="s">
        <v>379</v>
      </c>
      <c r="B152" s="111" t="s">
        <v>622</v>
      </c>
      <c r="C152" s="21" t="s">
        <v>432</v>
      </c>
      <c r="D152" s="21" t="s">
        <v>483</v>
      </c>
      <c r="E152" s="21"/>
      <c r="F152" s="38">
        <f>F153</f>
        <v>14684.8</v>
      </c>
      <c r="G152" s="38">
        <f t="shared" si="57"/>
        <v>9558.5660000000007</v>
      </c>
      <c r="H152" s="38">
        <f t="shared" si="57"/>
        <v>14684.8</v>
      </c>
      <c r="I152" s="112">
        <f t="shared" si="58"/>
        <v>100</v>
      </c>
    </row>
    <row r="153" spans="1:9" s="101" customFormat="1" ht="12">
      <c r="A153" s="119" t="s">
        <v>301</v>
      </c>
      <c r="B153" s="120" t="s">
        <v>622</v>
      </c>
      <c r="C153" s="120" t="s">
        <v>432</v>
      </c>
      <c r="D153" s="120" t="s">
        <v>483</v>
      </c>
      <c r="E153" s="120" t="s">
        <v>84</v>
      </c>
      <c r="F153" s="121">
        <f>F154</f>
        <v>14684.8</v>
      </c>
      <c r="G153" s="121">
        <f t="shared" si="57"/>
        <v>9558.5660000000007</v>
      </c>
      <c r="H153" s="121">
        <f t="shared" si="57"/>
        <v>14684.8</v>
      </c>
      <c r="I153" s="121">
        <f t="shared" si="58"/>
        <v>100</v>
      </c>
    </row>
    <row r="154" spans="1:9" s="101" customFormat="1" ht="24">
      <c r="A154" s="119" t="s">
        <v>85</v>
      </c>
      <c r="B154" s="120" t="s">
        <v>622</v>
      </c>
      <c r="C154" s="120" t="s">
        <v>432</v>
      </c>
      <c r="D154" s="120" t="s">
        <v>483</v>
      </c>
      <c r="E154" s="120" t="s">
        <v>86</v>
      </c>
      <c r="F154" s="121">
        <f>31000-0.5-6714.7-10000+400</f>
        <v>14684.8</v>
      </c>
      <c r="G154" s="121">
        <v>9558.5660000000007</v>
      </c>
      <c r="H154" s="121">
        <f>31000-0.5-6714.7-10000+400</f>
        <v>14684.8</v>
      </c>
      <c r="I154" s="121">
        <f t="shared" si="58"/>
        <v>100</v>
      </c>
    </row>
    <row r="155" spans="1:9" s="101" customFormat="1" ht="12">
      <c r="A155" s="110" t="s">
        <v>623</v>
      </c>
      <c r="B155" s="111" t="s">
        <v>624</v>
      </c>
      <c r="C155" s="111"/>
      <c r="D155" s="111"/>
      <c r="E155" s="111"/>
      <c r="F155" s="112">
        <f>F156</f>
        <v>2000</v>
      </c>
      <c r="G155" s="134">
        <f t="shared" ref="G155:H158" si="59">G156</f>
        <v>0</v>
      </c>
      <c r="H155" s="112">
        <f t="shared" si="59"/>
        <v>2000</v>
      </c>
      <c r="I155" s="112">
        <f t="shared" si="58"/>
        <v>100</v>
      </c>
    </row>
    <row r="156" spans="1:9" s="101" customFormat="1" ht="12">
      <c r="A156" s="69" t="s">
        <v>375</v>
      </c>
      <c r="B156" s="111" t="s">
        <v>624</v>
      </c>
      <c r="C156" s="21" t="s">
        <v>432</v>
      </c>
      <c r="D156" s="21"/>
      <c r="E156" s="21"/>
      <c r="F156" s="38">
        <f>F157</f>
        <v>2000</v>
      </c>
      <c r="G156" s="87">
        <f t="shared" si="59"/>
        <v>0</v>
      </c>
      <c r="H156" s="38">
        <f t="shared" si="59"/>
        <v>2000</v>
      </c>
      <c r="I156" s="112">
        <f t="shared" si="58"/>
        <v>100</v>
      </c>
    </row>
    <row r="157" spans="1:9" s="101" customFormat="1" ht="12">
      <c r="A157" s="69" t="s">
        <v>379</v>
      </c>
      <c r="B157" s="111" t="s">
        <v>624</v>
      </c>
      <c r="C157" s="21" t="s">
        <v>432</v>
      </c>
      <c r="D157" s="21" t="s">
        <v>483</v>
      </c>
      <c r="E157" s="21"/>
      <c r="F157" s="38">
        <f>F158</f>
        <v>2000</v>
      </c>
      <c r="G157" s="87">
        <f t="shared" si="59"/>
        <v>0</v>
      </c>
      <c r="H157" s="38">
        <f t="shared" si="59"/>
        <v>2000</v>
      </c>
      <c r="I157" s="112">
        <f t="shared" si="58"/>
        <v>100</v>
      </c>
    </row>
    <row r="158" spans="1:9" s="101" customFormat="1" ht="12">
      <c r="A158" s="119" t="s">
        <v>301</v>
      </c>
      <c r="B158" s="120" t="s">
        <v>624</v>
      </c>
      <c r="C158" s="120" t="s">
        <v>432</v>
      </c>
      <c r="D158" s="120" t="s">
        <v>483</v>
      </c>
      <c r="E158" s="120" t="s">
        <v>84</v>
      </c>
      <c r="F158" s="121">
        <f>F159</f>
        <v>2000</v>
      </c>
      <c r="G158" s="135">
        <f t="shared" si="59"/>
        <v>0</v>
      </c>
      <c r="H158" s="121">
        <f t="shared" si="59"/>
        <v>2000</v>
      </c>
      <c r="I158" s="121">
        <f t="shared" si="58"/>
        <v>100</v>
      </c>
    </row>
    <row r="159" spans="1:9" s="101" customFormat="1" ht="24">
      <c r="A159" s="119" t="s">
        <v>85</v>
      </c>
      <c r="B159" s="120" t="s">
        <v>624</v>
      </c>
      <c r="C159" s="120" t="s">
        <v>432</v>
      </c>
      <c r="D159" s="120" t="s">
        <v>483</v>
      </c>
      <c r="E159" s="120" t="s">
        <v>86</v>
      </c>
      <c r="F159" s="121">
        <v>2000</v>
      </c>
      <c r="G159" s="135">
        <v>0</v>
      </c>
      <c r="H159" s="121">
        <v>2000</v>
      </c>
      <c r="I159" s="121">
        <f t="shared" si="58"/>
        <v>100</v>
      </c>
    </row>
    <row r="160" spans="1:9" s="102" customFormat="1" ht="12">
      <c r="A160" s="141" t="s">
        <v>349</v>
      </c>
      <c r="B160" s="111" t="s">
        <v>627</v>
      </c>
      <c r="C160" s="111"/>
      <c r="D160" s="111"/>
      <c r="E160" s="111"/>
      <c r="F160" s="112">
        <f>F161</f>
        <v>1000</v>
      </c>
      <c r="G160" s="112">
        <f t="shared" ref="G160:H163" si="60">G161</f>
        <v>274.82</v>
      </c>
      <c r="H160" s="112">
        <f t="shared" si="60"/>
        <v>1000</v>
      </c>
      <c r="I160" s="112">
        <f t="shared" si="58"/>
        <v>100</v>
      </c>
    </row>
    <row r="161" spans="1:9" s="102" customFormat="1" ht="12">
      <c r="A161" s="69" t="s">
        <v>375</v>
      </c>
      <c r="B161" s="111" t="s">
        <v>627</v>
      </c>
      <c r="C161" s="21" t="s">
        <v>432</v>
      </c>
      <c r="D161" s="21"/>
      <c r="E161" s="21"/>
      <c r="F161" s="38">
        <f>F162</f>
        <v>1000</v>
      </c>
      <c r="G161" s="38">
        <f t="shared" si="60"/>
        <v>274.82</v>
      </c>
      <c r="H161" s="38">
        <f t="shared" si="60"/>
        <v>1000</v>
      </c>
      <c r="I161" s="112">
        <f t="shared" si="58"/>
        <v>100</v>
      </c>
    </row>
    <row r="162" spans="1:9" s="102" customFormat="1" ht="12">
      <c r="A162" s="69" t="s">
        <v>379</v>
      </c>
      <c r="B162" s="111" t="s">
        <v>627</v>
      </c>
      <c r="C162" s="21" t="s">
        <v>432</v>
      </c>
      <c r="D162" s="21" t="s">
        <v>483</v>
      </c>
      <c r="E162" s="21"/>
      <c r="F162" s="38">
        <f>F163</f>
        <v>1000</v>
      </c>
      <c r="G162" s="38">
        <f t="shared" si="60"/>
        <v>274.82</v>
      </c>
      <c r="H162" s="38">
        <f t="shared" si="60"/>
        <v>1000</v>
      </c>
      <c r="I162" s="112">
        <f t="shared" si="58"/>
        <v>100</v>
      </c>
    </row>
    <row r="163" spans="1:9" s="102" customFormat="1" ht="12">
      <c r="A163" s="119" t="s">
        <v>301</v>
      </c>
      <c r="B163" s="120" t="s">
        <v>627</v>
      </c>
      <c r="C163" s="120" t="s">
        <v>432</v>
      </c>
      <c r="D163" s="120" t="s">
        <v>483</v>
      </c>
      <c r="E163" s="120" t="s">
        <v>84</v>
      </c>
      <c r="F163" s="121">
        <f>F164</f>
        <v>1000</v>
      </c>
      <c r="G163" s="121">
        <f t="shared" si="60"/>
        <v>274.82</v>
      </c>
      <c r="H163" s="121">
        <f t="shared" si="60"/>
        <v>1000</v>
      </c>
      <c r="I163" s="121">
        <f t="shared" si="58"/>
        <v>100</v>
      </c>
    </row>
    <row r="164" spans="1:9" s="102" customFormat="1" ht="24">
      <c r="A164" s="119" t="s">
        <v>85</v>
      </c>
      <c r="B164" s="120" t="s">
        <v>627</v>
      </c>
      <c r="C164" s="120" t="s">
        <v>432</v>
      </c>
      <c r="D164" s="120" t="s">
        <v>483</v>
      </c>
      <c r="E164" s="120" t="s">
        <v>86</v>
      </c>
      <c r="F164" s="121">
        <f>2000-1000</f>
        <v>1000</v>
      </c>
      <c r="G164" s="121">
        <v>274.82</v>
      </c>
      <c r="H164" s="121">
        <v>1000</v>
      </c>
      <c r="I164" s="121">
        <f t="shared" si="58"/>
        <v>100</v>
      </c>
    </row>
    <row r="165" spans="1:9" s="102" customFormat="1" ht="12">
      <c r="A165" s="110" t="s">
        <v>350</v>
      </c>
      <c r="B165" s="111" t="s">
        <v>628</v>
      </c>
      <c r="C165" s="111"/>
      <c r="D165" s="111"/>
      <c r="E165" s="111"/>
      <c r="F165" s="112">
        <f>F166</f>
        <v>2000</v>
      </c>
      <c r="G165" s="112">
        <f t="shared" ref="G165:H168" si="61">G166</f>
        <v>302.53399999999999</v>
      </c>
      <c r="H165" s="112">
        <f t="shared" si="61"/>
        <v>2000</v>
      </c>
      <c r="I165" s="112">
        <f t="shared" si="58"/>
        <v>100</v>
      </c>
    </row>
    <row r="166" spans="1:9" s="102" customFormat="1" ht="12">
      <c r="A166" s="69" t="s">
        <v>375</v>
      </c>
      <c r="B166" s="111" t="s">
        <v>628</v>
      </c>
      <c r="C166" s="21" t="s">
        <v>432</v>
      </c>
      <c r="D166" s="21"/>
      <c r="E166" s="21"/>
      <c r="F166" s="38">
        <f>F167</f>
        <v>2000</v>
      </c>
      <c r="G166" s="38">
        <f t="shared" si="61"/>
        <v>302.53399999999999</v>
      </c>
      <c r="H166" s="38">
        <f t="shared" si="61"/>
        <v>2000</v>
      </c>
      <c r="I166" s="112">
        <f t="shared" si="58"/>
        <v>100</v>
      </c>
    </row>
    <row r="167" spans="1:9" s="102" customFormat="1" ht="12">
      <c r="A167" s="69" t="s">
        <v>379</v>
      </c>
      <c r="B167" s="111" t="s">
        <v>628</v>
      </c>
      <c r="C167" s="21" t="s">
        <v>432</v>
      </c>
      <c r="D167" s="21" t="s">
        <v>483</v>
      </c>
      <c r="E167" s="21"/>
      <c r="F167" s="38">
        <f>F168</f>
        <v>2000</v>
      </c>
      <c r="G167" s="38">
        <f t="shared" si="61"/>
        <v>302.53399999999999</v>
      </c>
      <c r="H167" s="38">
        <f t="shared" si="61"/>
        <v>2000</v>
      </c>
      <c r="I167" s="112">
        <f t="shared" si="58"/>
        <v>100</v>
      </c>
    </row>
    <row r="168" spans="1:9" s="102" customFormat="1" ht="12">
      <c r="A168" s="119" t="s">
        <v>301</v>
      </c>
      <c r="B168" s="120" t="s">
        <v>628</v>
      </c>
      <c r="C168" s="120" t="s">
        <v>432</v>
      </c>
      <c r="D168" s="120" t="s">
        <v>483</v>
      </c>
      <c r="E168" s="120" t="s">
        <v>84</v>
      </c>
      <c r="F168" s="121">
        <f>F169</f>
        <v>2000</v>
      </c>
      <c r="G168" s="121">
        <f t="shared" si="61"/>
        <v>302.53399999999999</v>
      </c>
      <c r="H168" s="121">
        <f t="shared" si="61"/>
        <v>2000</v>
      </c>
      <c r="I168" s="121">
        <f t="shared" si="58"/>
        <v>100</v>
      </c>
    </row>
    <row r="169" spans="1:9" s="102" customFormat="1" ht="24">
      <c r="A169" s="119" t="s">
        <v>85</v>
      </c>
      <c r="B169" s="120" t="s">
        <v>628</v>
      </c>
      <c r="C169" s="120" t="s">
        <v>432</v>
      </c>
      <c r="D169" s="120" t="s">
        <v>483</v>
      </c>
      <c r="E169" s="120" t="s">
        <v>86</v>
      </c>
      <c r="F169" s="121">
        <v>2000</v>
      </c>
      <c r="G169" s="121">
        <v>302.53399999999999</v>
      </c>
      <c r="H169" s="121">
        <v>2000</v>
      </c>
      <c r="I169" s="121">
        <f t="shared" si="58"/>
        <v>100</v>
      </c>
    </row>
    <row r="170" spans="1:9" s="102" customFormat="1" ht="24">
      <c r="A170" s="141" t="s">
        <v>337</v>
      </c>
      <c r="B170" s="111" t="s">
        <v>629</v>
      </c>
      <c r="C170" s="111"/>
      <c r="D170" s="111"/>
      <c r="E170" s="111"/>
      <c r="F170" s="112">
        <f>F171</f>
        <v>2000</v>
      </c>
      <c r="G170" s="112">
        <f t="shared" ref="G170:H173" si="62">G171</f>
        <v>1998.9490000000001</v>
      </c>
      <c r="H170" s="112">
        <f t="shared" si="62"/>
        <v>2000</v>
      </c>
      <c r="I170" s="112">
        <f t="shared" si="58"/>
        <v>100</v>
      </c>
    </row>
    <row r="171" spans="1:9" s="102" customFormat="1" ht="12">
      <c r="A171" s="69" t="s">
        <v>375</v>
      </c>
      <c r="B171" s="111" t="s">
        <v>629</v>
      </c>
      <c r="C171" s="21" t="s">
        <v>432</v>
      </c>
      <c r="D171" s="21"/>
      <c r="E171" s="21"/>
      <c r="F171" s="38">
        <f>F172</f>
        <v>2000</v>
      </c>
      <c r="G171" s="38">
        <f t="shared" si="62"/>
        <v>1998.9490000000001</v>
      </c>
      <c r="H171" s="38">
        <f t="shared" si="62"/>
        <v>2000</v>
      </c>
      <c r="I171" s="112">
        <f t="shared" si="58"/>
        <v>100</v>
      </c>
    </row>
    <row r="172" spans="1:9" s="102" customFormat="1" ht="12">
      <c r="A172" s="69" t="s">
        <v>379</v>
      </c>
      <c r="B172" s="111" t="s">
        <v>629</v>
      </c>
      <c r="C172" s="21" t="s">
        <v>432</v>
      </c>
      <c r="D172" s="21" t="s">
        <v>483</v>
      </c>
      <c r="E172" s="21"/>
      <c r="F172" s="38">
        <f>F173</f>
        <v>2000</v>
      </c>
      <c r="G172" s="38">
        <f t="shared" si="62"/>
        <v>1998.9490000000001</v>
      </c>
      <c r="H172" s="38">
        <f t="shared" si="62"/>
        <v>2000</v>
      </c>
      <c r="I172" s="112">
        <f t="shared" si="58"/>
        <v>100</v>
      </c>
    </row>
    <row r="173" spans="1:9" s="102" customFormat="1" ht="12">
      <c r="A173" s="119" t="s">
        <v>301</v>
      </c>
      <c r="B173" s="120" t="s">
        <v>629</v>
      </c>
      <c r="C173" s="120" t="s">
        <v>432</v>
      </c>
      <c r="D173" s="120" t="s">
        <v>483</v>
      </c>
      <c r="E173" s="120" t="s">
        <v>84</v>
      </c>
      <c r="F173" s="121">
        <f>F174</f>
        <v>2000</v>
      </c>
      <c r="G173" s="121">
        <f t="shared" si="62"/>
        <v>1998.9490000000001</v>
      </c>
      <c r="H173" s="121">
        <f t="shared" si="62"/>
        <v>2000</v>
      </c>
      <c r="I173" s="121">
        <f t="shared" si="58"/>
        <v>100</v>
      </c>
    </row>
    <row r="174" spans="1:9" s="102" customFormat="1" ht="24">
      <c r="A174" s="119" t="s">
        <v>85</v>
      </c>
      <c r="B174" s="120" t="s">
        <v>629</v>
      </c>
      <c r="C174" s="120" t="s">
        <v>432</v>
      </c>
      <c r="D174" s="120" t="s">
        <v>483</v>
      </c>
      <c r="E174" s="120" t="s">
        <v>86</v>
      </c>
      <c r="F174" s="121">
        <v>2000</v>
      </c>
      <c r="G174" s="121">
        <v>1998.9490000000001</v>
      </c>
      <c r="H174" s="121">
        <v>2000</v>
      </c>
      <c r="I174" s="121">
        <f t="shared" si="58"/>
        <v>100</v>
      </c>
    </row>
    <row r="175" spans="1:9" s="102" customFormat="1" ht="24">
      <c r="A175" s="161" t="s">
        <v>338</v>
      </c>
      <c r="B175" s="150" t="s">
        <v>630</v>
      </c>
      <c r="C175" s="111"/>
      <c r="D175" s="111"/>
      <c r="E175" s="150"/>
      <c r="F175" s="112">
        <f>F176</f>
        <v>1200</v>
      </c>
      <c r="G175" s="112">
        <f t="shared" ref="G175:H178" si="63">G176</f>
        <v>599.16</v>
      </c>
      <c r="H175" s="112">
        <f t="shared" si="63"/>
        <v>1200</v>
      </c>
      <c r="I175" s="112">
        <f t="shared" si="58"/>
        <v>100</v>
      </c>
    </row>
    <row r="176" spans="1:9" s="102" customFormat="1" ht="12">
      <c r="A176" s="69" t="s">
        <v>375</v>
      </c>
      <c r="B176" s="150" t="s">
        <v>630</v>
      </c>
      <c r="C176" s="21" t="s">
        <v>432</v>
      </c>
      <c r="D176" s="21"/>
      <c r="E176" s="21"/>
      <c r="F176" s="38">
        <f>F177</f>
        <v>1200</v>
      </c>
      <c r="G176" s="38">
        <f t="shared" si="63"/>
        <v>599.16</v>
      </c>
      <c r="H176" s="38">
        <f t="shared" si="63"/>
        <v>1200</v>
      </c>
      <c r="I176" s="112">
        <f t="shared" si="58"/>
        <v>100</v>
      </c>
    </row>
    <row r="177" spans="1:9" s="102" customFormat="1" ht="12">
      <c r="A177" s="69" t="s">
        <v>379</v>
      </c>
      <c r="B177" s="150" t="s">
        <v>630</v>
      </c>
      <c r="C177" s="21" t="s">
        <v>432</v>
      </c>
      <c r="D177" s="21" t="s">
        <v>483</v>
      </c>
      <c r="E177" s="21"/>
      <c r="F177" s="38">
        <f>F178</f>
        <v>1200</v>
      </c>
      <c r="G177" s="38">
        <f t="shared" si="63"/>
        <v>599.16</v>
      </c>
      <c r="H177" s="38">
        <f t="shared" si="63"/>
        <v>1200</v>
      </c>
      <c r="I177" s="112">
        <f t="shared" si="58"/>
        <v>100</v>
      </c>
    </row>
    <row r="178" spans="1:9" s="102" customFormat="1" ht="12">
      <c r="A178" s="119" t="s">
        <v>161</v>
      </c>
      <c r="B178" s="137" t="s">
        <v>630</v>
      </c>
      <c r="C178" s="120" t="s">
        <v>432</v>
      </c>
      <c r="D178" s="120" t="s">
        <v>483</v>
      </c>
      <c r="E178" s="120" t="s">
        <v>84</v>
      </c>
      <c r="F178" s="121">
        <f>F179</f>
        <v>1200</v>
      </c>
      <c r="G178" s="121">
        <f t="shared" si="63"/>
        <v>599.16</v>
      </c>
      <c r="H178" s="121">
        <f t="shared" si="63"/>
        <v>1200</v>
      </c>
      <c r="I178" s="121">
        <f t="shared" si="58"/>
        <v>100</v>
      </c>
    </row>
    <row r="179" spans="1:9" s="102" customFormat="1" ht="24">
      <c r="A179" s="119" t="s">
        <v>85</v>
      </c>
      <c r="B179" s="137" t="s">
        <v>630</v>
      </c>
      <c r="C179" s="120" t="s">
        <v>432</v>
      </c>
      <c r="D179" s="120" t="s">
        <v>483</v>
      </c>
      <c r="E179" s="120" t="s">
        <v>86</v>
      </c>
      <c r="F179" s="121">
        <f>2000-800</f>
        <v>1200</v>
      </c>
      <c r="G179" s="121">
        <v>599.16</v>
      </c>
      <c r="H179" s="121">
        <f>2000-800</f>
        <v>1200</v>
      </c>
      <c r="I179" s="121">
        <f t="shared" si="58"/>
        <v>100</v>
      </c>
    </row>
    <row r="180" spans="1:9" s="102" customFormat="1" ht="12">
      <c r="A180" s="110" t="s">
        <v>241</v>
      </c>
      <c r="B180" s="111" t="s">
        <v>631</v>
      </c>
      <c r="C180" s="111"/>
      <c r="D180" s="111"/>
      <c r="E180" s="111"/>
      <c r="F180" s="112">
        <f>F181</f>
        <v>82362</v>
      </c>
      <c r="G180" s="112">
        <f t="shared" ref="G180:H183" si="64">G181</f>
        <v>70817.471999999994</v>
      </c>
      <c r="H180" s="112">
        <f t="shared" si="64"/>
        <v>82362</v>
      </c>
      <c r="I180" s="112">
        <f t="shared" si="58"/>
        <v>100</v>
      </c>
    </row>
    <row r="181" spans="1:9" s="102" customFormat="1" ht="12">
      <c r="A181" s="69" t="s">
        <v>375</v>
      </c>
      <c r="B181" s="111" t="s">
        <v>631</v>
      </c>
      <c r="C181" s="21" t="s">
        <v>432</v>
      </c>
      <c r="D181" s="21"/>
      <c r="E181" s="21"/>
      <c r="F181" s="38">
        <f>F182</f>
        <v>82362</v>
      </c>
      <c r="G181" s="38">
        <f t="shared" si="64"/>
        <v>70817.471999999994</v>
      </c>
      <c r="H181" s="38">
        <f t="shared" si="64"/>
        <v>82362</v>
      </c>
      <c r="I181" s="112">
        <f t="shared" si="58"/>
        <v>100</v>
      </c>
    </row>
    <row r="182" spans="1:9" s="102" customFormat="1" ht="12">
      <c r="A182" s="69" t="s">
        <v>379</v>
      </c>
      <c r="B182" s="111" t="s">
        <v>631</v>
      </c>
      <c r="C182" s="21" t="s">
        <v>432</v>
      </c>
      <c r="D182" s="21" t="s">
        <v>483</v>
      </c>
      <c r="E182" s="21"/>
      <c r="F182" s="38">
        <f>F183</f>
        <v>82362</v>
      </c>
      <c r="G182" s="38">
        <f t="shared" si="64"/>
        <v>70817.471999999994</v>
      </c>
      <c r="H182" s="38">
        <f t="shared" si="64"/>
        <v>82362</v>
      </c>
      <c r="I182" s="112">
        <f t="shared" si="58"/>
        <v>100</v>
      </c>
    </row>
    <row r="183" spans="1:9" s="102" customFormat="1" ht="12">
      <c r="A183" s="119" t="s">
        <v>301</v>
      </c>
      <c r="B183" s="120" t="s">
        <v>631</v>
      </c>
      <c r="C183" s="120" t="s">
        <v>432</v>
      </c>
      <c r="D183" s="120" t="s">
        <v>483</v>
      </c>
      <c r="E183" s="120" t="s">
        <v>84</v>
      </c>
      <c r="F183" s="121">
        <f>F184</f>
        <v>82362</v>
      </c>
      <c r="G183" s="121">
        <f t="shared" si="64"/>
        <v>70817.471999999994</v>
      </c>
      <c r="H183" s="121">
        <f t="shared" si="64"/>
        <v>82362</v>
      </c>
      <c r="I183" s="121">
        <f t="shared" si="58"/>
        <v>100</v>
      </c>
    </row>
    <row r="184" spans="1:9" s="102" customFormat="1" ht="24">
      <c r="A184" s="119" t="s">
        <v>85</v>
      </c>
      <c r="B184" s="120" t="s">
        <v>631</v>
      </c>
      <c r="C184" s="120" t="s">
        <v>432</v>
      </c>
      <c r="D184" s="120" t="s">
        <v>483</v>
      </c>
      <c r="E184" s="120" t="s">
        <v>86</v>
      </c>
      <c r="F184" s="121">
        <f>80000+1400+962</f>
        <v>82362</v>
      </c>
      <c r="G184" s="121">
        <v>70817.471999999994</v>
      </c>
      <c r="H184" s="121">
        <f>80000+1400+962</f>
        <v>82362</v>
      </c>
      <c r="I184" s="121">
        <f t="shared" si="58"/>
        <v>100</v>
      </c>
    </row>
    <row r="185" spans="1:9" s="102" customFormat="1" ht="12">
      <c r="A185" s="110" t="s">
        <v>339</v>
      </c>
      <c r="B185" s="111" t="s">
        <v>632</v>
      </c>
      <c r="C185" s="111"/>
      <c r="D185" s="111"/>
      <c r="E185" s="111"/>
      <c r="F185" s="112">
        <f>F186</f>
        <v>26161</v>
      </c>
      <c r="G185" s="112">
        <f t="shared" ref="G185:H188" si="65">G186</f>
        <v>25545.143189999999</v>
      </c>
      <c r="H185" s="112">
        <f t="shared" si="65"/>
        <v>26161</v>
      </c>
      <c r="I185" s="112">
        <f t="shared" si="58"/>
        <v>100</v>
      </c>
    </row>
    <row r="186" spans="1:9" s="102" customFormat="1" ht="12">
      <c r="A186" s="69" t="s">
        <v>375</v>
      </c>
      <c r="B186" s="111" t="s">
        <v>632</v>
      </c>
      <c r="C186" s="21" t="s">
        <v>432</v>
      </c>
      <c r="D186" s="21"/>
      <c r="E186" s="21"/>
      <c r="F186" s="38">
        <f>F187</f>
        <v>26161</v>
      </c>
      <c r="G186" s="38">
        <f t="shared" si="65"/>
        <v>25545.143189999999</v>
      </c>
      <c r="H186" s="38">
        <f t="shared" si="65"/>
        <v>26161</v>
      </c>
      <c r="I186" s="112">
        <f t="shared" si="58"/>
        <v>100</v>
      </c>
    </row>
    <row r="187" spans="1:9" s="102" customFormat="1" ht="12">
      <c r="A187" s="69" t="s">
        <v>379</v>
      </c>
      <c r="B187" s="111" t="s">
        <v>632</v>
      </c>
      <c r="C187" s="21" t="s">
        <v>432</v>
      </c>
      <c r="D187" s="21" t="s">
        <v>483</v>
      </c>
      <c r="E187" s="21"/>
      <c r="F187" s="38">
        <f>F188</f>
        <v>26161</v>
      </c>
      <c r="G187" s="38">
        <f t="shared" si="65"/>
        <v>25545.143189999999</v>
      </c>
      <c r="H187" s="38">
        <f t="shared" si="65"/>
        <v>26161</v>
      </c>
      <c r="I187" s="112">
        <f t="shared" si="58"/>
        <v>100</v>
      </c>
    </row>
    <row r="188" spans="1:9" s="102" customFormat="1" ht="12">
      <c r="A188" s="119" t="s">
        <v>301</v>
      </c>
      <c r="B188" s="120" t="s">
        <v>632</v>
      </c>
      <c r="C188" s="120" t="s">
        <v>432</v>
      </c>
      <c r="D188" s="120" t="s">
        <v>483</v>
      </c>
      <c r="E188" s="120" t="s">
        <v>84</v>
      </c>
      <c r="F188" s="121">
        <f>F189</f>
        <v>26161</v>
      </c>
      <c r="G188" s="121">
        <f t="shared" si="65"/>
        <v>25545.143189999999</v>
      </c>
      <c r="H188" s="121">
        <f t="shared" si="65"/>
        <v>26161</v>
      </c>
      <c r="I188" s="121">
        <f t="shared" si="58"/>
        <v>100</v>
      </c>
    </row>
    <row r="189" spans="1:9" s="102" customFormat="1" ht="24">
      <c r="A189" s="119" t="s">
        <v>85</v>
      </c>
      <c r="B189" s="120" t="s">
        <v>632</v>
      </c>
      <c r="C189" s="120" t="s">
        <v>432</v>
      </c>
      <c r="D189" s="120" t="s">
        <v>483</v>
      </c>
      <c r="E189" s="120" t="s">
        <v>86</v>
      </c>
      <c r="F189" s="121">
        <v>26161</v>
      </c>
      <c r="G189" s="121">
        <v>25545.143189999999</v>
      </c>
      <c r="H189" s="121">
        <v>26161</v>
      </c>
      <c r="I189" s="121">
        <f t="shared" si="58"/>
        <v>100</v>
      </c>
    </row>
    <row r="190" spans="1:9" s="102" customFormat="1" ht="12">
      <c r="A190" s="110" t="s">
        <v>259</v>
      </c>
      <c r="B190" s="111" t="s">
        <v>620</v>
      </c>
      <c r="C190" s="111"/>
      <c r="D190" s="111"/>
      <c r="E190" s="111"/>
      <c r="F190" s="112">
        <f>F191</f>
        <v>6652.7</v>
      </c>
      <c r="G190" s="112">
        <f t="shared" ref="G190:H191" si="66">G191</f>
        <v>5034.6694200000002</v>
      </c>
      <c r="H190" s="112">
        <f t="shared" si="66"/>
        <v>6652.7</v>
      </c>
      <c r="I190" s="112">
        <f t="shared" si="58"/>
        <v>100</v>
      </c>
    </row>
    <row r="191" spans="1:9" s="102" customFormat="1" ht="12">
      <c r="A191" s="51" t="s">
        <v>363</v>
      </c>
      <c r="B191" s="111" t="s">
        <v>620</v>
      </c>
      <c r="C191" s="21" t="s">
        <v>78</v>
      </c>
      <c r="D191" s="21"/>
      <c r="E191" s="21"/>
      <c r="F191" s="38">
        <f>F192</f>
        <v>6652.7</v>
      </c>
      <c r="G191" s="38">
        <f t="shared" si="66"/>
        <v>5034.6694200000002</v>
      </c>
      <c r="H191" s="38">
        <f t="shared" si="66"/>
        <v>6652.7</v>
      </c>
      <c r="I191" s="112">
        <f t="shared" si="58"/>
        <v>100</v>
      </c>
    </row>
    <row r="192" spans="1:9" s="102" customFormat="1" ht="12">
      <c r="A192" s="51" t="s">
        <v>373</v>
      </c>
      <c r="B192" s="111" t="s">
        <v>620</v>
      </c>
      <c r="C192" s="21" t="s">
        <v>78</v>
      </c>
      <c r="D192" s="21" t="s">
        <v>490</v>
      </c>
      <c r="E192" s="21"/>
      <c r="F192" s="38">
        <f>F193+F195+F197</f>
        <v>6652.7</v>
      </c>
      <c r="G192" s="38">
        <f t="shared" ref="G192:H192" si="67">G193+G195+G197</f>
        <v>5034.6694200000002</v>
      </c>
      <c r="H192" s="38">
        <f t="shared" si="67"/>
        <v>6652.7</v>
      </c>
      <c r="I192" s="112">
        <f t="shared" si="58"/>
        <v>100</v>
      </c>
    </row>
    <row r="193" spans="1:9" s="102" customFormat="1" ht="36">
      <c r="A193" s="119" t="s">
        <v>79</v>
      </c>
      <c r="B193" s="120" t="s">
        <v>620</v>
      </c>
      <c r="C193" s="120" t="s">
        <v>78</v>
      </c>
      <c r="D193" s="120" t="s">
        <v>490</v>
      </c>
      <c r="E193" s="120" t="s">
        <v>80</v>
      </c>
      <c r="F193" s="121">
        <f>F194</f>
        <v>5700.7254499999999</v>
      </c>
      <c r="G193" s="121">
        <f t="shared" ref="G193:H193" si="68">G194</f>
        <v>4563.32485</v>
      </c>
      <c r="H193" s="121">
        <f t="shared" si="68"/>
        <v>5700.7254499999999</v>
      </c>
      <c r="I193" s="121">
        <f t="shared" si="58"/>
        <v>100</v>
      </c>
    </row>
    <row r="194" spans="1:9" s="102" customFormat="1" ht="12">
      <c r="A194" s="119" t="s">
        <v>486</v>
      </c>
      <c r="B194" s="120" t="s">
        <v>620</v>
      </c>
      <c r="C194" s="120" t="s">
        <v>78</v>
      </c>
      <c r="D194" s="120" t="s">
        <v>490</v>
      </c>
      <c r="E194" s="120" t="s">
        <v>487</v>
      </c>
      <c r="F194" s="121">
        <f>4380+1320+0.72545</f>
        <v>5700.7254499999999</v>
      </c>
      <c r="G194" s="121">
        <v>4563.32485</v>
      </c>
      <c r="H194" s="121">
        <f>4380+1320+0.72545</f>
        <v>5700.7254499999999</v>
      </c>
      <c r="I194" s="121">
        <f t="shared" si="58"/>
        <v>100</v>
      </c>
    </row>
    <row r="195" spans="1:9" s="102" customFormat="1" ht="12">
      <c r="A195" s="119" t="s">
        <v>301</v>
      </c>
      <c r="B195" s="120" t="s">
        <v>620</v>
      </c>
      <c r="C195" s="120" t="s">
        <v>78</v>
      </c>
      <c r="D195" s="120" t="s">
        <v>490</v>
      </c>
      <c r="E195" s="120" t="s">
        <v>84</v>
      </c>
      <c r="F195" s="121">
        <f>F196</f>
        <v>910.29854999999998</v>
      </c>
      <c r="G195" s="121">
        <f t="shared" ref="G195:H195" si="69">G196</f>
        <v>433.49056999999999</v>
      </c>
      <c r="H195" s="121">
        <f t="shared" si="69"/>
        <v>910.29854999999998</v>
      </c>
      <c r="I195" s="121">
        <f t="shared" si="58"/>
        <v>100</v>
      </c>
    </row>
    <row r="196" spans="1:9" s="102" customFormat="1" ht="24">
      <c r="A196" s="119" t="s">
        <v>85</v>
      </c>
      <c r="B196" s="120" t="s">
        <v>620</v>
      </c>
      <c r="C196" s="120" t="s">
        <v>78</v>
      </c>
      <c r="D196" s="120" t="s">
        <v>490</v>
      </c>
      <c r="E196" s="120" t="s">
        <v>86</v>
      </c>
      <c r="F196" s="121">
        <f>24.2+75+53.4+198.4+433-0.72545-16.676+143.7</f>
        <v>910.29854999999998</v>
      </c>
      <c r="G196" s="121">
        <v>433.49056999999999</v>
      </c>
      <c r="H196" s="121">
        <f>24.2+75+53.4+198.4+433-0.72545-16.676+143.7</f>
        <v>910.29854999999998</v>
      </c>
      <c r="I196" s="121">
        <f t="shared" si="58"/>
        <v>100</v>
      </c>
    </row>
    <row r="197" spans="1:9" s="102" customFormat="1" ht="12">
      <c r="A197" s="119" t="s">
        <v>87</v>
      </c>
      <c r="B197" s="120" t="s">
        <v>620</v>
      </c>
      <c r="C197" s="120" t="s">
        <v>78</v>
      </c>
      <c r="D197" s="120" t="s">
        <v>490</v>
      </c>
      <c r="E197" s="120" t="s">
        <v>88</v>
      </c>
      <c r="F197" s="121">
        <f>F198</f>
        <v>41.676000000000002</v>
      </c>
      <c r="G197" s="121">
        <f t="shared" ref="G197:H197" si="70">G198</f>
        <v>37.853999999999999</v>
      </c>
      <c r="H197" s="121">
        <f t="shared" si="70"/>
        <v>41.676000000000002</v>
      </c>
      <c r="I197" s="121">
        <f t="shared" si="58"/>
        <v>100</v>
      </c>
    </row>
    <row r="198" spans="1:9" s="102" customFormat="1" ht="12">
      <c r="A198" s="119" t="s">
        <v>155</v>
      </c>
      <c r="B198" s="120" t="s">
        <v>620</v>
      </c>
      <c r="C198" s="120" t="s">
        <v>78</v>
      </c>
      <c r="D198" s="120" t="s">
        <v>490</v>
      </c>
      <c r="E198" s="120" t="s">
        <v>89</v>
      </c>
      <c r="F198" s="121">
        <f>25+16.676</f>
        <v>41.676000000000002</v>
      </c>
      <c r="G198" s="121">
        <v>37.853999999999999</v>
      </c>
      <c r="H198" s="121">
        <f>25+16.676</f>
        <v>41.676000000000002</v>
      </c>
      <c r="I198" s="121">
        <f t="shared" si="58"/>
        <v>100</v>
      </c>
    </row>
    <row r="199" spans="1:9" s="102" customFormat="1" ht="24">
      <c r="A199" s="110" t="s">
        <v>260</v>
      </c>
      <c r="B199" s="111" t="s">
        <v>633</v>
      </c>
      <c r="C199" s="111"/>
      <c r="D199" s="111"/>
      <c r="E199" s="111"/>
      <c r="F199" s="112">
        <f>F200</f>
        <v>205791.19699999999</v>
      </c>
      <c r="G199" s="112">
        <f t="shared" ref="G199:H202" si="71">G200</f>
        <v>168456.51579</v>
      </c>
      <c r="H199" s="112">
        <f t="shared" si="71"/>
        <v>203097.20699999999</v>
      </c>
      <c r="I199" s="112">
        <f t="shared" si="58"/>
        <v>98.69091096253257</v>
      </c>
    </row>
    <row r="200" spans="1:9" s="102" customFormat="1" ht="12">
      <c r="A200" s="69" t="s">
        <v>375</v>
      </c>
      <c r="B200" s="111" t="s">
        <v>633</v>
      </c>
      <c r="C200" s="21" t="s">
        <v>432</v>
      </c>
      <c r="D200" s="21"/>
      <c r="E200" s="21"/>
      <c r="F200" s="38">
        <f>F201</f>
        <v>205791.19699999999</v>
      </c>
      <c r="G200" s="38">
        <f t="shared" si="71"/>
        <v>168456.51579</v>
      </c>
      <c r="H200" s="38">
        <f t="shared" si="71"/>
        <v>203097.20699999999</v>
      </c>
      <c r="I200" s="112">
        <f t="shared" si="58"/>
        <v>98.69091096253257</v>
      </c>
    </row>
    <row r="201" spans="1:9" s="102" customFormat="1" ht="12">
      <c r="A201" s="69" t="s">
        <v>379</v>
      </c>
      <c r="B201" s="111" t="s">
        <v>633</v>
      </c>
      <c r="C201" s="21" t="s">
        <v>432</v>
      </c>
      <c r="D201" s="21" t="s">
        <v>483</v>
      </c>
      <c r="E201" s="21"/>
      <c r="F201" s="38">
        <f>F202</f>
        <v>205791.19699999999</v>
      </c>
      <c r="G201" s="38">
        <f t="shared" si="71"/>
        <v>168456.51579</v>
      </c>
      <c r="H201" s="38">
        <f t="shared" si="71"/>
        <v>203097.20699999999</v>
      </c>
      <c r="I201" s="112">
        <f t="shared" si="58"/>
        <v>98.69091096253257</v>
      </c>
    </row>
    <row r="202" spans="1:9" s="102" customFormat="1" ht="24">
      <c r="A202" s="119" t="s">
        <v>104</v>
      </c>
      <c r="B202" s="120" t="s">
        <v>633</v>
      </c>
      <c r="C202" s="120" t="s">
        <v>432</v>
      </c>
      <c r="D202" s="120" t="s">
        <v>483</v>
      </c>
      <c r="E202" s="120" t="s">
        <v>408</v>
      </c>
      <c r="F202" s="121">
        <f>F203</f>
        <v>205791.19699999999</v>
      </c>
      <c r="G202" s="121">
        <f t="shared" si="71"/>
        <v>168456.51579</v>
      </c>
      <c r="H202" s="121">
        <f t="shared" si="71"/>
        <v>203097.20699999999</v>
      </c>
      <c r="I202" s="121">
        <f t="shared" si="58"/>
        <v>98.69091096253257</v>
      </c>
    </row>
    <row r="203" spans="1:9" s="102" customFormat="1" ht="12">
      <c r="A203" s="119" t="s">
        <v>105</v>
      </c>
      <c r="B203" s="120" t="s">
        <v>633</v>
      </c>
      <c r="C203" s="120" t="s">
        <v>432</v>
      </c>
      <c r="D203" s="120" t="s">
        <v>483</v>
      </c>
      <c r="E203" s="120" t="s">
        <v>425</v>
      </c>
      <c r="F203" s="121">
        <f>164000+7000+37000-2208.803</f>
        <v>205791.19699999999</v>
      </c>
      <c r="G203" s="121">
        <v>168456.51579</v>
      </c>
      <c r="H203" s="121">
        <f>164000+7000+37000-2208.803-2693.99</f>
        <v>203097.20699999999</v>
      </c>
      <c r="I203" s="121">
        <f t="shared" si="58"/>
        <v>98.69091096253257</v>
      </c>
    </row>
    <row r="204" spans="1:9" s="102" customFormat="1" ht="24">
      <c r="A204" s="110" t="s">
        <v>249</v>
      </c>
      <c r="B204" s="111" t="s">
        <v>634</v>
      </c>
      <c r="C204" s="111"/>
      <c r="D204" s="111"/>
      <c r="E204" s="111"/>
      <c r="F204" s="112">
        <f>F205</f>
        <v>11922</v>
      </c>
      <c r="G204" s="112">
        <f t="shared" ref="G204:H207" si="72">G205</f>
        <v>11810.145839999999</v>
      </c>
      <c r="H204" s="112">
        <f t="shared" si="72"/>
        <v>11922</v>
      </c>
      <c r="I204" s="112">
        <f t="shared" si="58"/>
        <v>100</v>
      </c>
    </row>
    <row r="205" spans="1:9" s="102" customFormat="1" ht="12">
      <c r="A205" s="69" t="s">
        <v>375</v>
      </c>
      <c r="B205" s="111" t="s">
        <v>634</v>
      </c>
      <c r="C205" s="21" t="s">
        <v>432</v>
      </c>
      <c r="D205" s="21"/>
      <c r="E205" s="21"/>
      <c r="F205" s="38">
        <f>F206</f>
        <v>11922</v>
      </c>
      <c r="G205" s="38">
        <f t="shared" si="72"/>
        <v>11810.145839999999</v>
      </c>
      <c r="H205" s="38">
        <f t="shared" si="72"/>
        <v>11922</v>
      </c>
      <c r="I205" s="112">
        <f t="shared" si="58"/>
        <v>100</v>
      </c>
    </row>
    <row r="206" spans="1:9" s="102" customFormat="1" ht="12">
      <c r="A206" s="69" t="s">
        <v>379</v>
      </c>
      <c r="B206" s="111" t="s">
        <v>634</v>
      </c>
      <c r="C206" s="21" t="s">
        <v>432</v>
      </c>
      <c r="D206" s="21" t="s">
        <v>483</v>
      </c>
      <c r="E206" s="21"/>
      <c r="F206" s="38">
        <f>F207</f>
        <v>11922</v>
      </c>
      <c r="G206" s="38">
        <f t="shared" si="72"/>
        <v>11810.145839999999</v>
      </c>
      <c r="H206" s="38">
        <f t="shared" si="72"/>
        <v>11922</v>
      </c>
      <c r="I206" s="112">
        <f t="shared" si="58"/>
        <v>100</v>
      </c>
    </row>
    <row r="207" spans="1:9" s="102" customFormat="1" ht="12">
      <c r="A207" s="119" t="s">
        <v>301</v>
      </c>
      <c r="B207" s="120" t="s">
        <v>634</v>
      </c>
      <c r="C207" s="120" t="s">
        <v>432</v>
      </c>
      <c r="D207" s="120" t="s">
        <v>483</v>
      </c>
      <c r="E207" s="120" t="s">
        <v>84</v>
      </c>
      <c r="F207" s="121">
        <f>F208</f>
        <v>11922</v>
      </c>
      <c r="G207" s="121">
        <f t="shared" si="72"/>
        <v>11810.145839999999</v>
      </c>
      <c r="H207" s="121">
        <f t="shared" si="72"/>
        <v>11922</v>
      </c>
      <c r="I207" s="121">
        <f t="shared" si="58"/>
        <v>100</v>
      </c>
    </row>
    <row r="208" spans="1:9" s="102" customFormat="1" ht="24">
      <c r="A208" s="119" t="s">
        <v>85</v>
      </c>
      <c r="B208" s="120" t="s">
        <v>634</v>
      </c>
      <c r="C208" s="120" t="s">
        <v>432</v>
      </c>
      <c r="D208" s="120" t="s">
        <v>483</v>
      </c>
      <c r="E208" s="120" t="s">
        <v>86</v>
      </c>
      <c r="F208" s="121">
        <f>48922-37000</f>
        <v>11922</v>
      </c>
      <c r="G208" s="121">
        <v>11810.145839999999</v>
      </c>
      <c r="H208" s="121">
        <f>48922-37000</f>
        <v>11922</v>
      </c>
      <c r="I208" s="121">
        <f t="shared" si="58"/>
        <v>100</v>
      </c>
    </row>
    <row r="209" spans="1:9" s="102" customFormat="1" ht="24">
      <c r="A209" s="127" t="s">
        <v>341</v>
      </c>
      <c r="B209" s="111" t="s">
        <v>254</v>
      </c>
      <c r="C209" s="111"/>
      <c r="D209" s="111"/>
      <c r="E209" s="111"/>
      <c r="F209" s="112">
        <f>F210</f>
        <v>6663</v>
      </c>
      <c r="G209" s="112">
        <f t="shared" ref="G209:H209" si="73">G210</f>
        <v>5385.2875599999998</v>
      </c>
      <c r="H209" s="112">
        <f t="shared" si="73"/>
        <v>6663</v>
      </c>
      <c r="I209" s="112">
        <f>H209/F209*100</f>
        <v>100</v>
      </c>
    </row>
    <row r="210" spans="1:9" s="102" customFormat="1" ht="36">
      <c r="A210" s="124" t="s">
        <v>410</v>
      </c>
      <c r="B210" s="125" t="s">
        <v>254</v>
      </c>
      <c r="C210" s="125"/>
      <c r="D210" s="125"/>
      <c r="E210" s="125"/>
      <c r="F210" s="126">
        <f>F211+F216</f>
        <v>6663</v>
      </c>
      <c r="G210" s="126">
        <f t="shared" ref="G210:H210" si="74">G211+G216</f>
        <v>5385.2875599999998</v>
      </c>
      <c r="H210" s="126">
        <f t="shared" si="74"/>
        <v>6663</v>
      </c>
      <c r="I210" s="126">
        <f t="shared" ref="I210:I237" si="75">H210/F210*100</f>
        <v>100</v>
      </c>
    </row>
    <row r="211" spans="1:9" s="102" customFormat="1" ht="12">
      <c r="A211" s="69" t="s">
        <v>375</v>
      </c>
      <c r="B211" s="111" t="s">
        <v>342</v>
      </c>
      <c r="C211" s="21" t="s">
        <v>432</v>
      </c>
      <c r="D211" s="21"/>
      <c r="E211" s="125"/>
      <c r="F211" s="112">
        <f>F212</f>
        <v>6470</v>
      </c>
      <c r="G211" s="112">
        <f t="shared" ref="G211:H214" si="76">G212</f>
        <v>5224.57204</v>
      </c>
      <c r="H211" s="112">
        <f t="shared" si="76"/>
        <v>6470</v>
      </c>
      <c r="I211" s="112">
        <f t="shared" si="75"/>
        <v>100</v>
      </c>
    </row>
    <row r="212" spans="1:9" s="102" customFormat="1" ht="12">
      <c r="A212" s="69" t="s">
        <v>380</v>
      </c>
      <c r="B212" s="111" t="s">
        <v>342</v>
      </c>
      <c r="C212" s="21" t="s">
        <v>432</v>
      </c>
      <c r="D212" s="21" t="s">
        <v>432</v>
      </c>
      <c r="E212" s="125"/>
      <c r="F212" s="112">
        <f>F213</f>
        <v>6470</v>
      </c>
      <c r="G212" s="112">
        <f t="shared" si="76"/>
        <v>5224.57204</v>
      </c>
      <c r="H212" s="112">
        <f t="shared" si="76"/>
        <v>6470</v>
      </c>
      <c r="I212" s="112">
        <f t="shared" si="75"/>
        <v>100</v>
      </c>
    </row>
    <row r="213" spans="1:9" s="102" customFormat="1" ht="24">
      <c r="A213" s="127" t="s">
        <v>392</v>
      </c>
      <c r="B213" s="111" t="s">
        <v>342</v>
      </c>
      <c r="C213" s="111" t="s">
        <v>432</v>
      </c>
      <c r="D213" s="111" t="s">
        <v>432</v>
      </c>
      <c r="E213" s="111"/>
      <c r="F213" s="112">
        <f>F214</f>
        <v>6470</v>
      </c>
      <c r="G213" s="112">
        <f t="shared" si="76"/>
        <v>5224.57204</v>
      </c>
      <c r="H213" s="112">
        <f t="shared" si="76"/>
        <v>6470</v>
      </c>
      <c r="I213" s="112">
        <f t="shared" si="75"/>
        <v>100</v>
      </c>
    </row>
    <row r="214" spans="1:9" s="102" customFormat="1" ht="36">
      <c r="A214" s="119" t="s">
        <v>79</v>
      </c>
      <c r="B214" s="120" t="s">
        <v>342</v>
      </c>
      <c r="C214" s="120" t="s">
        <v>432</v>
      </c>
      <c r="D214" s="120" t="s">
        <v>432</v>
      </c>
      <c r="E214" s="120" t="s">
        <v>80</v>
      </c>
      <c r="F214" s="121">
        <f>F215</f>
        <v>6470</v>
      </c>
      <c r="G214" s="121">
        <f t="shared" si="76"/>
        <v>5224.57204</v>
      </c>
      <c r="H214" s="121">
        <f t="shared" si="76"/>
        <v>6470</v>
      </c>
      <c r="I214" s="121">
        <f t="shared" si="75"/>
        <v>100</v>
      </c>
    </row>
    <row r="215" spans="1:9" s="102" customFormat="1" ht="12">
      <c r="A215" s="119" t="s">
        <v>81</v>
      </c>
      <c r="B215" s="120" t="s">
        <v>342</v>
      </c>
      <c r="C215" s="120" t="s">
        <v>432</v>
      </c>
      <c r="D215" s="120" t="s">
        <v>432</v>
      </c>
      <c r="E215" s="120" t="s">
        <v>82</v>
      </c>
      <c r="F215" s="121">
        <f>4970+1500</f>
        <v>6470</v>
      </c>
      <c r="G215" s="121">
        <v>5224.57204</v>
      </c>
      <c r="H215" s="121">
        <f>4970+1500</f>
        <v>6470</v>
      </c>
      <c r="I215" s="121">
        <f t="shared" si="75"/>
        <v>100</v>
      </c>
    </row>
    <row r="216" spans="1:9" s="102" customFormat="1" ht="12">
      <c r="A216" s="110" t="s">
        <v>83</v>
      </c>
      <c r="B216" s="111" t="s">
        <v>343</v>
      </c>
      <c r="C216" s="111"/>
      <c r="D216" s="111"/>
      <c r="E216" s="111"/>
      <c r="F216" s="112">
        <f>F217</f>
        <v>193</v>
      </c>
      <c r="G216" s="112">
        <f t="shared" ref="G216:H217" si="77">G217</f>
        <v>160.71552</v>
      </c>
      <c r="H216" s="112">
        <f t="shared" si="77"/>
        <v>193</v>
      </c>
      <c r="I216" s="112">
        <f t="shared" si="75"/>
        <v>100</v>
      </c>
    </row>
    <row r="217" spans="1:9" s="102" customFormat="1" ht="12">
      <c r="A217" s="69" t="s">
        <v>375</v>
      </c>
      <c r="B217" s="111" t="s">
        <v>343</v>
      </c>
      <c r="C217" s="21" t="s">
        <v>432</v>
      </c>
      <c r="D217" s="21"/>
      <c r="E217" s="111"/>
      <c r="F217" s="112">
        <f>F218</f>
        <v>193</v>
      </c>
      <c r="G217" s="112">
        <f t="shared" si="77"/>
        <v>160.71552</v>
      </c>
      <c r="H217" s="112">
        <f t="shared" si="77"/>
        <v>193</v>
      </c>
      <c r="I217" s="112">
        <f t="shared" si="75"/>
        <v>100</v>
      </c>
    </row>
    <row r="218" spans="1:9" s="102" customFormat="1" ht="12">
      <c r="A218" s="69" t="s">
        <v>380</v>
      </c>
      <c r="B218" s="111" t="s">
        <v>343</v>
      </c>
      <c r="C218" s="21" t="s">
        <v>432</v>
      </c>
      <c r="D218" s="21" t="s">
        <v>432</v>
      </c>
      <c r="E218" s="111"/>
      <c r="F218" s="112">
        <f>F219+F221</f>
        <v>193</v>
      </c>
      <c r="G218" s="112">
        <f t="shared" ref="G218:H218" si="78">G219+G221</f>
        <v>160.71552</v>
      </c>
      <c r="H218" s="112">
        <f t="shared" si="78"/>
        <v>193</v>
      </c>
      <c r="I218" s="112">
        <f t="shared" si="75"/>
        <v>100</v>
      </c>
    </row>
    <row r="219" spans="1:9" s="102" customFormat="1" ht="12">
      <c r="A219" s="119" t="s">
        <v>301</v>
      </c>
      <c r="B219" s="120" t="s">
        <v>343</v>
      </c>
      <c r="C219" s="120" t="s">
        <v>432</v>
      </c>
      <c r="D219" s="120" t="s">
        <v>432</v>
      </c>
      <c r="E219" s="120" t="s">
        <v>84</v>
      </c>
      <c r="F219" s="121">
        <f>F220</f>
        <v>190</v>
      </c>
      <c r="G219" s="121">
        <f t="shared" ref="G219:H219" si="79">G220</f>
        <v>160.71552</v>
      </c>
      <c r="H219" s="121">
        <f t="shared" si="79"/>
        <v>190</v>
      </c>
      <c r="I219" s="121">
        <f t="shared" si="75"/>
        <v>100</v>
      </c>
    </row>
    <row r="220" spans="1:9" s="102" customFormat="1" ht="24">
      <c r="A220" s="119" t="s">
        <v>85</v>
      </c>
      <c r="B220" s="120" t="s">
        <v>343</v>
      </c>
      <c r="C220" s="120" t="s">
        <v>432</v>
      </c>
      <c r="D220" s="120" t="s">
        <v>432</v>
      </c>
      <c r="E220" s="120" t="s">
        <v>86</v>
      </c>
      <c r="F220" s="121">
        <f>60+30+30+35+35</f>
        <v>190</v>
      </c>
      <c r="G220" s="121">
        <v>160.71552</v>
      </c>
      <c r="H220" s="121">
        <f>60+30+30+35+35</f>
        <v>190</v>
      </c>
      <c r="I220" s="121">
        <f t="shared" si="75"/>
        <v>100</v>
      </c>
    </row>
    <row r="221" spans="1:9" s="102" customFormat="1" ht="12">
      <c r="A221" s="119" t="s">
        <v>87</v>
      </c>
      <c r="B221" s="120" t="s">
        <v>343</v>
      </c>
      <c r="C221" s="120" t="s">
        <v>432</v>
      </c>
      <c r="D221" s="120" t="s">
        <v>432</v>
      </c>
      <c r="E221" s="120" t="s">
        <v>88</v>
      </c>
      <c r="F221" s="121">
        <f>F222</f>
        <v>3</v>
      </c>
      <c r="G221" s="135">
        <f t="shared" ref="G221:H221" si="80">G222</f>
        <v>0</v>
      </c>
      <c r="H221" s="121">
        <f t="shared" si="80"/>
        <v>3</v>
      </c>
      <c r="I221" s="121">
        <f t="shared" si="75"/>
        <v>100</v>
      </c>
    </row>
    <row r="222" spans="1:9" s="102" customFormat="1" ht="12">
      <c r="A222" s="119" t="s">
        <v>514</v>
      </c>
      <c r="B222" s="120" t="s">
        <v>343</v>
      </c>
      <c r="C222" s="120" t="s">
        <v>432</v>
      </c>
      <c r="D222" s="120" t="s">
        <v>432</v>
      </c>
      <c r="E222" s="120" t="s">
        <v>89</v>
      </c>
      <c r="F222" s="121">
        <v>3</v>
      </c>
      <c r="G222" s="135">
        <v>0</v>
      </c>
      <c r="H222" s="121">
        <v>3</v>
      </c>
      <c r="I222" s="121">
        <f t="shared" si="75"/>
        <v>100</v>
      </c>
    </row>
    <row r="223" spans="1:9" s="102" customFormat="1" ht="24">
      <c r="A223" s="110" t="s">
        <v>717</v>
      </c>
      <c r="B223" s="111" t="s">
        <v>718</v>
      </c>
      <c r="C223" s="111"/>
      <c r="D223" s="111"/>
      <c r="E223" s="111"/>
      <c r="F223" s="112">
        <f>F224</f>
        <v>351.07499999999999</v>
      </c>
      <c r="G223" s="112">
        <f t="shared" ref="G223:H226" si="81">G224</f>
        <v>351.07499999999999</v>
      </c>
      <c r="H223" s="112">
        <f t="shared" si="81"/>
        <v>351.07499999999999</v>
      </c>
      <c r="I223" s="112">
        <f t="shared" si="75"/>
        <v>100</v>
      </c>
    </row>
    <row r="224" spans="1:9" s="102" customFormat="1" ht="12">
      <c r="A224" s="51" t="s">
        <v>396</v>
      </c>
      <c r="B224" s="111" t="s">
        <v>718</v>
      </c>
      <c r="C224" s="21" t="s">
        <v>488</v>
      </c>
      <c r="D224" s="21"/>
      <c r="E224" s="111"/>
      <c r="F224" s="112">
        <f>F225</f>
        <v>351.07499999999999</v>
      </c>
      <c r="G224" s="112">
        <f t="shared" si="81"/>
        <v>351.07499999999999</v>
      </c>
      <c r="H224" s="112">
        <f t="shared" si="81"/>
        <v>351.07499999999999</v>
      </c>
      <c r="I224" s="112">
        <f t="shared" si="75"/>
        <v>100</v>
      </c>
    </row>
    <row r="225" spans="1:9" s="102" customFormat="1" ht="12">
      <c r="A225" s="51" t="s">
        <v>468</v>
      </c>
      <c r="B225" s="111" t="s">
        <v>718</v>
      </c>
      <c r="C225" s="21" t="s">
        <v>488</v>
      </c>
      <c r="D225" s="21" t="s">
        <v>78</v>
      </c>
      <c r="E225" s="111"/>
      <c r="F225" s="112">
        <f>F226</f>
        <v>351.07499999999999</v>
      </c>
      <c r="G225" s="112">
        <f t="shared" si="81"/>
        <v>351.07499999999999</v>
      </c>
      <c r="H225" s="112">
        <f t="shared" si="81"/>
        <v>351.07499999999999</v>
      </c>
      <c r="I225" s="112">
        <f t="shared" si="75"/>
        <v>100</v>
      </c>
    </row>
    <row r="226" spans="1:9" s="102" customFormat="1" ht="12">
      <c r="A226" s="119" t="s">
        <v>301</v>
      </c>
      <c r="B226" s="120" t="s">
        <v>718</v>
      </c>
      <c r="C226" s="120" t="s">
        <v>488</v>
      </c>
      <c r="D226" s="120" t="s">
        <v>78</v>
      </c>
      <c r="E226" s="120" t="s">
        <v>84</v>
      </c>
      <c r="F226" s="121">
        <f>F227</f>
        <v>351.07499999999999</v>
      </c>
      <c r="G226" s="121">
        <f t="shared" si="81"/>
        <v>351.07499999999999</v>
      </c>
      <c r="H226" s="121">
        <f t="shared" si="81"/>
        <v>351.07499999999999</v>
      </c>
      <c r="I226" s="121">
        <f t="shared" si="75"/>
        <v>100</v>
      </c>
    </row>
    <row r="227" spans="1:9" s="102" customFormat="1" ht="24">
      <c r="A227" s="119" t="s">
        <v>85</v>
      </c>
      <c r="B227" s="120" t="s">
        <v>718</v>
      </c>
      <c r="C227" s="120" t="s">
        <v>488</v>
      </c>
      <c r="D227" s="120" t="s">
        <v>78</v>
      </c>
      <c r="E227" s="120" t="s">
        <v>86</v>
      </c>
      <c r="F227" s="121">
        <v>351.07499999999999</v>
      </c>
      <c r="G227" s="121">
        <v>351.07499999999999</v>
      </c>
      <c r="H227" s="121">
        <v>351.07499999999999</v>
      </c>
      <c r="I227" s="121">
        <f t="shared" si="75"/>
        <v>100</v>
      </c>
    </row>
    <row r="228" spans="1:9" s="102" customFormat="1" ht="24">
      <c r="A228" s="110" t="s">
        <v>719</v>
      </c>
      <c r="B228" s="111" t="s">
        <v>720</v>
      </c>
      <c r="C228" s="111"/>
      <c r="D228" s="111"/>
      <c r="E228" s="111"/>
      <c r="F228" s="112">
        <f>F229</f>
        <v>0.5</v>
      </c>
      <c r="G228" s="112">
        <f t="shared" ref="G228:H231" si="82">G229</f>
        <v>0.5</v>
      </c>
      <c r="H228" s="112">
        <f t="shared" si="82"/>
        <v>0.5</v>
      </c>
      <c r="I228" s="112">
        <f t="shared" si="75"/>
        <v>100</v>
      </c>
    </row>
    <row r="229" spans="1:9" s="102" customFormat="1" ht="12">
      <c r="A229" s="153" t="s">
        <v>396</v>
      </c>
      <c r="B229" s="111" t="s">
        <v>720</v>
      </c>
      <c r="C229" s="111" t="s">
        <v>488</v>
      </c>
      <c r="D229" s="111"/>
      <c r="E229" s="111"/>
      <c r="F229" s="112">
        <f>F230</f>
        <v>0.5</v>
      </c>
      <c r="G229" s="112">
        <f t="shared" si="82"/>
        <v>0.5</v>
      </c>
      <c r="H229" s="112">
        <f t="shared" si="82"/>
        <v>0.5</v>
      </c>
      <c r="I229" s="112">
        <f t="shared" si="75"/>
        <v>100</v>
      </c>
    </row>
    <row r="230" spans="1:9" s="102" customFormat="1" ht="12">
      <c r="A230" s="153" t="s">
        <v>468</v>
      </c>
      <c r="B230" s="111" t="s">
        <v>720</v>
      </c>
      <c r="C230" s="111" t="s">
        <v>488</v>
      </c>
      <c r="D230" s="111" t="s">
        <v>78</v>
      </c>
      <c r="E230" s="111"/>
      <c r="F230" s="112">
        <f>F231</f>
        <v>0.5</v>
      </c>
      <c r="G230" s="112">
        <f t="shared" si="82"/>
        <v>0.5</v>
      </c>
      <c r="H230" s="112">
        <f t="shared" si="82"/>
        <v>0.5</v>
      </c>
      <c r="I230" s="112">
        <f t="shared" si="75"/>
        <v>100</v>
      </c>
    </row>
    <row r="231" spans="1:9" s="102" customFormat="1" ht="12">
      <c r="A231" s="119" t="s">
        <v>301</v>
      </c>
      <c r="B231" s="120" t="s">
        <v>720</v>
      </c>
      <c r="C231" s="120" t="s">
        <v>488</v>
      </c>
      <c r="D231" s="120" t="s">
        <v>78</v>
      </c>
      <c r="E231" s="120" t="s">
        <v>84</v>
      </c>
      <c r="F231" s="121">
        <f>F232</f>
        <v>0.5</v>
      </c>
      <c r="G231" s="121">
        <f t="shared" si="82"/>
        <v>0.5</v>
      </c>
      <c r="H231" s="121">
        <f t="shared" si="82"/>
        <v>0.5</v>
      </c>
      <c r="I231" s="121">
        <f t="shared" si="75"/>
        <v>100</v>
      </c>
    </row>
    <row r="232" spans="1:9" s="102" customFormat="1" ht="24">
      <c r="A232" s="119" t="s">
        <v>85</v>
      </c>
      <c r="B232" s="120" t="s">
        <v>720</v>
      </c>
      <c r="C232" s="120" t="s">
        <v>488</v>
      </c>
      <c r="D232" s="120" t="s">
        <v>78</v>
      </c>
      <c r="E232" s="120" t="s">
        <v>86</v>
      </c>
      <c r="F232" s="121">
        <v>0.5</v>
      </c>
      <c r="G232" s="121">
        <v>0.5</v>
      </c>
      <c r="H232" s="121">
        <v>0.5</v>
      </c>
      <c r="I232" s="121">
        <f t="shared" si="75"/>
        <v>100</v>
      </c>
    </row>
    <row r="233" spans="1:9" s="102" customFormat="1" ht="24">
      <c r="A233" s="110" t="s">
        <v>759</v>
      </c>
      <c r="B233" s="111" t="s">
        <v>760</v>
      </c>
      <c r="C233" s="111"/>
      <c r="D233" s="111"/>
      <c r="E233" s="111"/>
      <c r="F233" s="112">
        <f>F234</f>
        <v>27113.54</v>
      </c>
      <c r="G233" s="112">
        <f t="shared" ref="G233:H236" si="83">G234</f>
        <v>17007.334999999999</v>
      </c>
      <c r="H233" s="112">
        <f t="shared" si="83"/>
        <v>27113.54</v>
      </c>
      <c r="I233" s="112">
        <f t="shared" si="75"/>
        <v>100</v>
      </c>
    </row>
    <row r="234" spans="1:9" s="102" customFormat="1" ht="12">
      <c r="A234" s="110" t="s">
        <v>375</v>
      </c>
      <c r="B234" s="111" t="s">
        <v>760</v>
      </c>
      <c r="C234" s="111" t="s">
        <v>432</v>
      </c>
      <c r="D234" s="111"/>
      <c r="E234" s="111"/>
      <c r="F234" s="112">
        <f>F235</f>
        <v>27113.54</v>
      </c>
      <c r="G234" s="112">
        <f t="shared" si="83"/>
        <v>17007.334999999999</v>
      </c>
      <c r="H234" s="112">
        <f t="shared" si="83"/>
        <v>27113.54</v>
      </c>
      <c r="I234" s="112">
        <f t="shared" si="75"/>
        <v>100</v>
      </c>
    </row>
    <row r="235" spans="1:9" s="102" customFormat="1" ht="12">
      <c r="A235" s="153" t="s">
        <v>377</v>
      </c>
      <c r="B235" s="111" t="s">
        <v>760</v>
      </c>
      <c r="C235" s="111" t="s">
        <v>432</v>
      </c>
      <c r="D235" s="111" t="s">
        <v>491</v>
      </c>
      <c r="E235" s="111"/>
      <c r="F235" s="112">
        <f>F236</f>
        <v>27113.54</v>
      </c>
      <c r="G235" s="112">
        <f t="shared" si="83"/>
        <v>17007.334999999999</v>
      </c>
      <c r="H235" s="112">
        <f t="shared" si="83"/>
        <v>27113.54</v>
      </c>
      <c r="I235" s="112">
        <f t="shared" si="75"/>
        <v>100</v>
      </c>
    </row>
    <row r="236" spans="1:9" s="102" customFormat="1" ht="24">
      <c r="A236" s="119" t="s">
        <v>104</v>
      </c>
      <c r="B236" s="120" t="s">
        <v>760</v>
      </c>
      <c r="C236" s="120" t="s">
        <v>432</v>
      </c>
      <c r="D236" s="120" t="s">
        <v>491</v>
      </c>
      <c r="E236" s="120" t="s">
        <v>408</v>
      </c>
      <c r="F236" s="121">
        <f>F237</f>
        <v>27113.54</v>
      </c>
      <c r="G236" s="121">
        <f t="shared" si="83"/>
        <v>17007.334999999999</v>
      </c>
      <c r="H236" s="121">
        <f t="shared" si="83"/>
        <v>27113.54</v>
      </c>
      <c r="I236" s="121">
        <f t="shared" si="75"/>
        <v>100</v>
      </c>
    </row>
    <row r="237" spans="1:9" s="102" customFormat="1" ht="12">
      <c r="A237" s="119" t="s">
        <v>105</v>
      </c>
      <c r="B237" s="120" t="s">
        <v>760</v>
      </c>
      <c r="C237" s="120" t="s">
        <v>432</v>
      </c>
      <c r="D237" s="120" t="s">
        <v>491</v>
      </c>
      <c r="E237" s="120" t="s">
        <v>425</v>
      </c>
      <c r="F237" s="121">
        <v>27113.54</v>
      </c>
      <c r="G237" s="121">
        <v>17007.334999999999</v>
      </c>
      <c r="H237" s="121">
        <v>27113.54</v>
      </c>
      <c r="I237" s="121">
        <f t="shared" si="75"/>
        <v>100</v>
      </c>
    </row>
    <row r="238" spans="1:9" s="102" customFormat="1" ht="40.5">
      <c r="A238" s="193" t="s">
        <v>565</v>
      </c>
      <c r="B238" s="194" t="s">
        <v>692</v>
      </c>
      <c r="C238" s="194"/>
      <c r="D238" s="194"/>
      <c r="E238" s="194"/>
      <c r="F238" s="195">
        <f>F239+F244+F249+F254+F259</f>
        <v>1260</v>
      </c>
      <c r="G238" s="195">
        <f t="shared" ref="G238:H238" si="84">G239+G244+G249+G254+G259</f>
        <v>0</v>
      </c>
      <c r="H238" s="195">
        <f t="shared" si="84"/>
        <v>1200</v>
      </c>
      <c r="I238" s="196">
        <f>H238/F238*100</f>
        <v>95.238095238095227</v>
      </c>
    </row>
    <row r="239" spans="1:9" s="102" customFormat="1" ht="60">
      <c r="A239" s="153" t="s">
        <v>566</v>
      </c>
      <c r="B239" s="111" t="s">
        <v>567</v>
      </c>
      <c r="C239" s="111"/>
      <c r="D239" s="111"/>
      <c r="E239" s="111"/>
      <c r="F239" s="154">
        <f>F240</f>
        <v>200</v>
      </c>
      <c r="G239" s="154">
        <f t="shared" ref="G239:H239" si="85">G240</f>
        <v>0</v>
      </c>
      <c r="H239" s="154">
        <f t="shared" si="85"/>
        <v>200</v>
      </c>
      <c r="I239" s="112">
        <f t="shared" ref="I239:I302" si="86">H239/F239*100</f>
        <v>100</v>
      </c>
    </row>
    <row r="240" spans="1:9" s="102" customFormat="1" ht="12">
      <c r="A240" s="51" t="s">
        <v>363</v>
      </c>
      <c r="B240" s="111" t="s">
        <v>567</v>
      </c>
      <c r="C240" s="21" t="s">
        <v>78</v>
      </c>
      <c r="D240" s="21"/>
      <c r="E240" s="21"/>
      <c r="F240" s="32">
        <f t="shared" ref="F240:H242" si="87">F241</f>
        <v>200</v>
      </c>
      <c r="G240" s="32">
        <f t="shared" si="87"/>
        <v>0</v>
      </c>
      <c r="H240" s="32">
        <f t="shared" si="87"/>
        <v>200</v>
      </c>
      <c r="I240" s="112">
        <f t="shared" si="86"/>
        <v>100</v>
      </c>
    </row>
    <row r="241" spans="1:9" s="102" customFormat="1" ht="12">
      <c r="A241" s="51" t="s">
        <v>405</v>
      </c>
      <c r="B241" s="111" t="s">
        <v>567</v>
      </c>
      <c r="C241" s="21" t="s">
        <v>78</v>
      </c>
      <c r="D241" s="21" t="s">
        <v>489</v>
      </c>
      <c r="E241" s="21"/>
      <c r="F241" s="32">
        <f t="shared" si="87"/>
        <v>200</v>
      </c>
      <c r="G241" s="32">
        <f t="shared" si="87"/>
        <v>0</v>
      </c>
      <c r="H241" s="32">
        <f t="shared" si="87"/>
        <v>200</v>
      </c>
      <c r="I241" s="112">
        <f t="shared" si="86"/>
        <v>100</v>
      </c>
    </row>
    <row r="242" spans="1:9" s="102" customFormat="1" ht="12">
      <c r="A242" s="119" t="s">
        <v>301</v>
      </c>
      <c r="B242" s="120" t="s">
        <v>567</v>
      </c>
      <c r="C242" s="120" t="s">
        <v>78</v>
      </c>
      <c r="D242" s="120" t="s">
        <v>489</v>
      </c>
      <c r="E242" s="120" t="s">
        <v>84</v>
      </c>
      <c r="F242" s="155">
        <f>F243</f>
        <v>200</v>
      </c>
      <c r="G242" s="155">
        <f t="shared" si="87"/>
        <v>0</v>
      </c>
      <c r="H242" s="155">
        <f t="shared" si="87"/>
        <v>200</v>
      </c>
      <c r="I242" s="121">
        <f t="shared" si="86"/>
        <v>100</v>
      </c>
    </row>
    <row r="243" spans="1:9" s="102" customFormat="1" ht="24">
      <c r="A243" s="119" t="s">
        <v>85</v>
      </c>
      <c r="B243" s="120" t="s">
        <v>567</v>
      </c>
      <c r="C243" s="120" t="s">
        <v>78</v>
      </c>
      <c r="D243" s="120" t="s">
        <v>489</v>
      </c>
      <c r="E243" s="120" t="s">
        <v>86</v>
      </c>
      <c r="F243" s="155">
        <v>200</v>
      </c>
      <c r="G243" s="155">
        <v>0</v>
      </c>
      <c r="H243" s="155">
        <v>200</v>
      </c>
      <c r="I243" s="121">
        <f t="shared" si="86"/>
        <v>100</v>
      </c>
    </row>
    <row r="244" spans="1:9" s="102" customFormat="1" ht="60">
      <c r="A244" s="153" t="s">
        <v>743</v>
      </c>
      <c r="B244" s="111" t="s">
        <v>568</v>
      </c>
      <c r="C244" s="111"/>
      <c r="D244" s="111"/>
      <c r="E244" s="111"/>
      <c r="F244" s="154">
        <f>F245</f>
        <v>300</v>
      </c>
      <c r="G244" s="154">
        <f t="shared" ref="G244:H244" si="88">G245</f>
        <v>0</v>
      </c>
      <c r="H244" s="154">
        <f t="shared" si="88"/>
        <v>300</v>
      </c>
      <c r="I244" s="112">
        <f t="shared" si="86"/>
        <v>100</v>
      </c>
    </row>
    <row r="245" spans="1:9" s="102" customFormat="1" ht="12">
      <c r="A245" s="51" t="s">
        <v>363</v>
      </c>
      <c r="B245" s="111" t="s">
        <v>568</v>
      </c>
      <c r="C245" s="21" t="s">
        <v>78</v>
      </c>
      <c r="D245" s="21"/>
      <c r="E245" s="21"/>
      <c r="F245" s="32">
        <f t="shared" ref="F245:H247" si="89">F246</f>
        <v>300</v>
      </c>
      <c r="G245" s="32">
        <f t="shared" si="89"/>
        <v>0</v>
      </c>
      <c r="H245" s="32">
        <f t="shared" si="89"/>
        <v>300</v>
      </c>
      <c r="I245" s="112">
        <f t="shared" si="86"/>
        <v>100</v>
      </c>
    </row>
    <row r="246" spans="1:9" s="102" customFormat="1" ht="12">
      <c r="A246" s="51" t="s">
        <v>405</v>
      </c>
      <c r="B246" s="111" t="s">
        <v>568</v>
      </c>
      <c r="C246" s="21" t="s">
        <v>78</v>
      </c>
      <c r="D246" s="21" t="s">
        <v>489</v>
      </c>
      <c r="E246" s="21"/>
      <c r="F246" s="32">
        <f t="shared" si="89"/>
        <v>300</v>
      </c>
      <c r="G246" s="32">
        <f t="shared" si="89"/>
        <v>0</v>
      </c>
      <c r="H246" s="32">
        <f t="shared" si="89"/>
        <v>300</v>
      </c>
      <c r="I246" s="112">
        <f t="shared" si="86"/>
        <v>100</v>
      </c>
    </row>
    <row r="247" spans="1:9" s="102" customFormat="1" ht="12">
      <c r="A247" s="119" t="s">
        <v>301</v>
      </c>
      <c r="B247" s="120" t="s">
        <v>568</v>
      </c>
      <c r="C247" s="120" t="s">
        <v>78</v>
      </c>
      <c r="D247" s="120" t="s">
        <v>489</v>
      </c>
      <c r="E247" s="120" t="s">
        <v>84</v>
      </c>
      <c r="F247" s="155">
        <f>F248</f>
        <v>300</v>
      </c>
      <c r="G247" s="155">
        <f t="shared" si="89"/>
        <v>0</v>
      </c>
      <c r="H247" s="155">
        <f t="shared" si="89"/>
        <v>300</v>
      </c>
      <c r="I247" s="121">
        <f t="shared" si="86"/>
        <v>100</v>
      </c>
    </row>
    <row r="248" spans="1:9" s="102" customFormat="1" ht="24">
      <c r="A248" s="119" t="s">
        <v>85</v>
      </c>
      <c r="B248" s="120" t="s">
        <v>568</v>
      </c>
      <c r="C248" s="120" t="s">
        <v>78</v>
      </c>
      <c r="D248" s="120" t="s">
        <v>489</v>
      </c>
      <c r="E248" s="120" t="s">
        <v>86</v>
      </c>
      <c r="F248" s="155">
        <v>300</v>
      </c>
      <c r="G248" s="155">
        <v>0</v>
      </c>
      <c r="H248" s="155">
        <v>300</v>
      </c>
      <c r="I248" s="121">
        <f t="shared" si="86"/>
        <v>100</v>
      </c>
    </row>
    <row r="249" spans="1:9" s="102" customFormat="1" ht="36">
      <c r="A249" s="110" t="s">
        <v>569</v>
      </c>
      <c r="B249" s="111" t="s">
        <v>570</v>
      </c>
      <c r="C249" s="111"/>
      <c r="D249" s="111"/>
      <c r="E249" s="111"/>
      <c r="F249" s="154">
        <f>F250</f>
        <v>300</v>
      </c>
      <c r="G249" s="154">
        <f t="shared" ref="G249:H249" si="90">G250</f>
        <v>0</v>
      </c>
      <c r="H249" s="154">
        <f t="shared" si="90"/>
        <v>300</v>
      </c>
      <c r="I249" s="112">
        <f t="shared" si="86"/>
        <v>100</v>
      </c>
    </row>
    <row r="250" spans="1:9" s="102" customFormat="1" ht="12">
      <c r="A250" s="51" t="s">
        <v>363</v>
      </c>
      <c r="B250" s="111" t="s">
        <v>570</v>
      </c>
      <c r="C250" s="21" t="s">
        <v>78</v>
      </c>
      <c r="D250" s="21"/>
      <c r="E250" s="21"/>
      <c r="F250" s="32">
        <f t="shared" ref="F250:H252" si="91">F251</f>
        <v>300</v>
      </c>
      <c r="G250" s="32">
        <f t="shared" si="91"/>
        <v>0</v>
      </c>
      <c r="H250" s="32">
        <f t="shared" si="91"/>
        <v>300</v>
      </c>
      <c r="I250" s="112">
        <f t="shared" si="86"/>
        <v>100</v>
      </c>
    </row>
    <row r="251" spans="1:9" s="102" customFormat="1" ht="12">
      <c r="A251" s="51" t="s">
        <v>405</v>
      </c>
      <c r="B251" s="111" t="s">
        <v>570</v>
      </c>
      <c r="C251" s="21" t="s">
        <v>78</v>
      </c>
      <c r="D251" s="21" t="s">
        <v>489</v>
      </c>
      <c r="E251" s="21"/>
      <c r="F251" s="32">
        <f t="shared" si="91"/>
        <v>300</v>
      </c>
      <c r="G251" s="32">
        <f t="shared" si="91"/>
        <v>0</v>
      </c>
      <c r="H251" s="32">
        <f t="shared" si="91"/>
        <v>300</v>
      </c>
      <c r="I251" s="112">
        <f t="shared" si="86"/>
        <v>100</v>
      </c>
    </row>
    <row r="252" spans="1:9" s="102" customFormat="1" ht="12">
      <c r="A252" s="119" t="s">
        <v>301</v>
      </c>
      <c r="B252" s="120" t="s">
        <v>570</v>
      </c>
      <c r="C252" s="120" t="s">
        <v>78</v>
      </c>
      <c r="D252" s="120" t="s">
        <v>489</v>
      </c>
      <c r="E252" s="120" t="s">
        <v>84</v>
      </c>
      <c r="F252" s="155">
        <f>F253</f>
        <v>300</v>
      </c>
      <c r="G252" s="155">
        <f t="shared" si="91"/>
        <v>0</v>
      </c>
      <c r="H252" s="155">
        <f t="shared" si="91"/>
        <v>300</v>
      </c>
      <c r="I252" s="121">
        <f t="shared" si="86"/>
        <v>100</v>
      </c>
    </row>
    <row r="253" spans="1:9" s="102" customFormat="1" ht="24">
      <c r="A253" s="119" t="s">
        <v>85</v>
      </c>
      <c r="B253" s="120" t="s">
        <v>570</v>
      </c>
      <c r="C253" s="120" t="s">
        <v>78</v>
      </c>
      <c r="D253" s="120" t="s">
        <v>489</v>
      </c>
      <c r="E253" s="120" t="s">
        <v>86</v>
      </c>
      <c r="F253" s="155">
        <v>300</v>
      </c>
      <c r="G253" s="155">
        <v>0</v>
      </c>
      <c r="H253" s="155">
        <v>300</v>
      </c>
      <c r="I253" s="121">
        <f t="shared" si="86"/>
        <v>100</v>
      </c>
    </row>
    <row r="254" spans="1:9" s="102" customFormat="1" ht="36">
      <c r="A254" s="110" t="s">
        <v>497</v>
      </c>
      <c r="B254" s="111" t="s">
        <v>571</v>
      </c>
      <c r="C254" s="111"/>
      <c r="D254" s="111"/>
      <c r="E254" s="111"/>
      <c r="F254" s="154">
        <f>F255</f>
        <v>400</v>
      </c>
      <c r="G254" s="154">
        <f t="shared" ref="G254:H254" si="92">G255</f>
        <v>0</v>
      </c>
      <c r="H254" s="154">
        <f t="shared" si="92"/>
        <v>400</v>
      </c>
      <c r="I254" s="112">
        <f t="shared" si="86"/>
        <v>100</v>
      </c>
    </row>
    <row r="255" spans="1:9" s="102" customFormat="1" ht="12">
      <c r="A255" s="51" t="s">
        <v>363</v>
      </c>
      <c r="B255" s="111" t="s">
        <v>571</v>
      </c>
      <c r="C255" s="21" t="s">
        <v>78</v>
      </c>
      <c r="D255" s="21"/>
      <c r="E255" s="21"/>
      <c r="F255" s="32">
        <f t="shared" ref="F255:H257" si="93">F256</f>
        <v>400</v>
      </c>
      <c r="G255" s="32">
        <f t="shared" si="93"/>
        <v>0</v>
      </c>
      <c r="H255" s="32">
        <f t="shared" si="93"/>
        <v>400</v>
      </c>
      <c r="I255" s="112">
        <f t="shared" si="86"/>
        <v>100</v>
      </c>
    </row>
    <row r="256" spans="1:9" s="102" customFormat="1" ht="12">
      <c r="A256" s="51" t="s">
        <v>405</v>
      </c>
      <c r="B256" s="111" t="s">
        <v>571</v>
      </c>
      <c r="C256" s="21" t="s">
        <v>78</v>
      </c>
      <c r="D256" s="21" t="s">
        <v>489</v>
      </c>
      <c r="E256" s="21"/>
      <c r="F256" s="32">
        <f t="shared" si="93"/>
        <v>400</v>
      </c>
      <c r="G256" s="32">
        <f t="shared" si="93"/>
        <v>0</v>
      </c>
      <c r="H256" s="32">
        <f t="shared" si="93"/>
        <v>400</v>
      </c>
      <c r="I256" s="112">
        <f t="shared" si="86"/>
        <v>100</v>
      </c>
    </row>
    <row r="257" spans="1:9" s="102" customFormat="1" ht="12">
      <c r="A257" s="119" t="s">
        <v>301</v>
      </c>
      <c r="B257" s="120" t="s">
        <v>571</v>
      </c>
      <c r="C257" s="120" t="s">
        <v>78</v>
      </c>
      <c r="D257" s="120" t="s">
        <v>489</v>
      </c>
      <c r="E257" s="120" t="s">
        <v>84</v>
      </c>
      <c r="F257" s="155">
        <f>F258</f>
        <v>400</v>
      </c>
      <c r="G257" s="155">
        <f t="shared" si="93"/>
        <v>0</v>
      </c>
      <c r="H257" s="155">
        <f t="shared" si="93"/>
        <v>400</v>
      </c>
      <c r="I257" s="121">
        <f t="shared" si="86"/>
        <v>100</v>
      </c>
    </row>
    <row r="258" spans="1:9" s="102" customFormat="1" ht="24">
      <c r="A258" s="119" t="s">
        <v>85</v>
      </c>
      <c r="B258" s="120" t="s">
        <v>571</v>
      </c>
      <c r="C258" s="120" t="s">
        <v>78</v>
      </c>
      <c r="D258" s="120" t="s">
        <v>489</v>
      </c>
      <c r="E258" s="120" t="s">
        <v>86</v>
      </c>
      <c r="F258" s="155">
        <v>400</v>
      </c>
      <c r="G258" s="155">
        <v>0</v>
      </c>
      <c r="H258" s="155">
        <v>400</v>
      </c>
      <c r="I258" s="121">
        <f t="shared" si="86"/>
        <v>100</v>
      </c>
    </row>
    <row r="259" spans="1:9" s="102" customFormat="1" ht="36">
      <c r="A259" s="110" t="s">
        <v>572</v>
      </c>
      <c r="B259" s="111" t="s">
        <v>573</v>
      </c>
      <c r="C259" s="111"/>
      <c r="D259" s="111"/>
      <c r="E259" s="111"/>
      <c r="F259" s="154">
        <f>F260</f>
        <v>60</v>
      </c>
      <c r="G259" s="154">
        <f t="shared" ref="G259:H259" si="94">G260</f>
        <v>0</v>
      </c>
      <c r="H259" s="154">
        <f t="shared" si="94"/>
        <v>0</v>
      </c>
      <c r="I259" s="134">
        <f t="shared" si="86"/>
        <v>0</v>
      </c>
    </row>
    <row r="260" spans="1:9" s="102" customFormat="1" ht="12">
      <c r="A260" s="51" t="s">
        <v>363</v>
      </c>
      <c r="B260" s="111" t="s">
        <v>573</v>
      </c>
      <c r="C260" s="21" t="s">
        <v>78</v>
      </c>
      <c r="D260" s="21"/>
      <c r="E260" s="21"/>
      <c r="F260" s="32">
        <f t="shared" ref="F260:H262" si="95">F261</f>
        <v>60</v>
      </c>
      <c r="G260" s="32">
        <f t="shared" si="95"/>
        <v>0</v>
      </c>
      <c r="H260" s="32">
        <f t="shared" si="95"/>
        <v>0</v>
      </c>
      <c r="I260" s="134">
        <f t="shared" si="86"/>
        <v>0</v>
      </c>
    </row>
    <row r="261" spans="1:9" s="102" customFormat="1" ht="12">
      <c r="A261" s="51" t="s">
        <v>405</v>
      </c>
      <c r="B261" s="111" t="s">
        <v>573</v>
      </c>
      <c r="C261" s="21" t="s">
        <v>78</v>
      </c>
      <c r="D261" s="21" t="s">
        <v>489</v>
      </c>
      <c r="E261" s="21"/>
      <c r="F261" s="32">
        <f t="shared" si="95"/>
        <v>60</v>
      </c>
      <c r="G261" s="32">
        <f t="shared" si="95"/>
        <v>0</v>
      </c>
      <c r="H261" s="32">
        <f t="shared" si="95"/>
        <v>0</v>
      </c>
      <c r="I261" s="134">
        <f t="shared" si="86"/>
        <v>0</v>
      </c>
    </row>
    <row r="262" spans="1:9" s="102" customFormat="1" ht="12">
      <c r="A262" s="119" t="s">
        <v>301</v>
      </c>
      <c r="B262" s="120" t="s">
        <v>573</v>
      </c>
      <c r="C262" s="120" t="s">
        <v>78</v>
      </c>
      <c r="D262" s="120" t="s">
        <v>489</v>
      </c>
      <c r="E262" s="120" t="s">
        <v>84</v>
      </c>
      <c r="F262" s="155">
        <f>F263</f>
        <v>60</v>
      </c>
      <c r="G262" s="155">
        <f t="shared" si="95"/>
        <v>0</v>
      </c>
      <c r="H262" s="155">
        <f t="shared" si="95"/>
        <v>0</v>
      </c>
      <c r="I262" s="135">
        <f t="shared" si="86"/>
        <v>0</v>
      </c>
    </row>
    <row r="263" spans="1:9" s="102" customFormat="1" ht="24">
      <c r="A263" s="119" t="s">
        <v>85</v>
      </c>
      <c r="B263" s="120" t="s">
        <v>573</v>
      </c>
      <c r="C263" s="120" t="s">
        <v>78</v>
      </c>
      <c r="D263" s="120" t="s">
        <v>489</v>
      </c>
      <c r="E263" s="120" t="s">
        <v>86</v>
      </c>
      <c r="F263" s="155">
        <f>300-240</f>
        <v>60</v>
      </c>
      <c r="G263" s="155"/>
      <c r="H263" s="155">
        <v>0</v>
      </c>
      <c r="I263" s="135">
        <f t="shared" si="86"/>
        <v>0</v>
      </c>
    </row>
    <row r="264" spans="1:9" s="252" customFormat="1" ht="27">
      <c r="A264" s="131" t="s">
        <v>297</v>
      </c>
      <c r="B264" s="191" t="s">
        <v>238</v>
      </c>
      <c r="C264" s="132"/>
      <c r="D264" s="132"/>
      <c r="E264" s="186"/>
      <c r="F264" s="197">
        <f t="shared" ref="F264:H269" si="96">F265</f>
        <v>1720</v>
      </c>
      <c r="G264" s="197">
        <f t="shared" si="96"/>
        <v>300.35000000000002</v>
      </c>
      <c r="H264" s="197">
        <f t="shared" si="96"/>
        <v>860</v>
      </c>
      <c r="I264" s="192">
        <f>H264/F264*100</f>
        <v>50</v>
      </c>
    </row>
    <row r="265" spans="1:9" s="102" customFormat="1" ht="36">
      <c r="A265" s="124" t="s">
        <v>559</v>
      </c>
      <c r="B265" s="129" t="s">
        <v>560</v>
      </c>
      <c r="C265" s="125"/>
      <c r="D265" s="125"/>
      <c r="E265" s="151"/>
      <c r="F265" s="136">
        <f t="shared" si="96"/>
        <v>1720</v>
      </c>
      <c r="G265" s="136">
        <f t="shared" si="96"/>
        <v>300.35000000000002</v>
      </c>
      <c r="H265" s="136">
        <f t="shared" si="96"/>
        <v>860</v>
      </c>
      <c r="I265" s="126">
        <f t="shared" si="86"/>
        <v>50</v>
      </c>
    </row>
    <row r="266" spans="1:9" s="102" customFormat="1" ht="36">
      <c r="A266" s="110" t="s">
        <v>561</v>
      </c>
      <c r="B266" s="142" t="s">
        <v>562</v>
      </c>
      <c r="C266" s="111"/>
      <c r="D266" s="111"/>
      <c r="E266" s="150"/>
      <c r="F266" s="134">
        <f t="shared" si="96"/>
        <v>1720</v>
      </c>
      <c r="G266" s="134">
        <f t="shared" si="96"/>
        <v>300.35000000000002</v>
      </c>
      <c r="H266" s="134">
        <f t="shared" si="96"/>
        <v>860</v>
      </c>
      <c r="I266" s="112">
        <f t="shared" si="86"/>
        <v>50</v>
      </c>
    </row>
    <row r="267" spans="1:9" s="102" customFormat="1" ht="12">
      <c r="A267" s="64" t="s">
        <v>114</v>
      </c>
      <c r="B267" s="142" t="s">
        <v>562</v>
      </c>
      <c r="C267" s="21" t="s">
        <v>76</v>
      </c>
      <c r="D267" s="21"/>
      <c r="E267" s="150"/>
      <c r="F267" s="134">
        <f t="shared" si="96"/>
        <v>1720</v>
      </c>
      <c r="G267" s="134">
        <f t="shared" si="96"/>
        <v>300.35000000000002</v>
      </c>
      <c r="H267" s="134">
        <f t="shared" si="96"/>
        <v>860</v>
      </c>
      <c r="I267" s="112">
        <f t="shared" si="86"/>
        <v>50</v>
      </c>
    </row>
    <row r="268" spans="1:9" s="102" customFormat="1" ht="12">
      <c r="A268" s="64" t="s">
        <v>427</v>
      </c>
      <c r="B268" s="142" t="s">
        <v>562</v>
      </c>
      <c r="C268" s="21" t="s">
        <v>76</v>
      </c>
      <c r="D268" s="21" t="s">
        <v>93</v>
      </c>
      <c r="E268" s="150"/>
      <c r="F268" s="134">
        <f t="shared" si="96"/>
        <v>1720</v>
      </c>
      <c r="G268" s="134">
        <f t="shared" si="96"/>
        <v>300.35000000000002</v>
      </c>
      <c r="H268" s="134">
        <f t="shared" si="96"/>
        <v>860</v>
      </c>
      <c r="I268" s="112">
        <f t="shared" si="86"/>
        <v>50</v>
      </c>
    </row>
    <row r="269" spans="1:9" s="102" customFormat="1" ht="12">
      <c r="A269" s="119" t="s">
        <v>301</v>
      </c>
      <c r="B269" s="130" t="s">
        <v>562</v>
      </c>
      <c r="C269" s="120" t="s">
        <v>76</v>
      </c>
      <c r="D269" s="120" t="s">
        <v>93</v>
      </c>
      <c r="E269" s="137">
        <v>200</v>
      </c>
      <c r="F269" s="135">
        <f t="shared" si="96"/>
        <v>1720</v>
      </c>
      <c r="G269" s="135">
        <f t="shared" si="96"/>
        <v>300.35000000000002</v>
      </c>
      <c r="H269" s="135">
        <f t="shared" si="96"/>
        <v>860</v>
      </c>
      <c r="I269" s="121">
        <f t="shared" si="86"/>
        <v>50</v>
      </c>
    </row>
    <row r="270" spans="1:9" s="102" customFormat="1" ht="24">
      <c r="A270" s="119" t="s">
        <v>85</v>
      </c>
      <c r="B270" s="130" t="s">
        <v>562</v>
      </c>
      <c r="C270" s="120" t="s">
        <v>76</v>
      </c>
      <c r="D270" s="120" t="s">
        <v>93</v>
      </c>
      <c r="E270" s="137">
        <v>240</v>
      </c>
      <c r="F270" s="135">
        <v>1720</v>
      </c>
      <c r="G270" s="135">
        <v>300.35000000000002</v>
      </c>
      <c r="H270" s="135">
        <v>860</v>
      </c>
      <c r="I270" s="121">
        <f t="shared" si="86"/>
        <v>50</v>
      </c>
    </row>
    <row r="271" spans="1:9" s="252" customFormat="1" ht="27">
      <c r="A271" s="131" t="s">
        <v>691</v>
      </c>
      <c r="B271" s="132" t="s">
        <v>162</v>
      </c>
      <c r="C271" s="132"/>
      <c r="D271" s="132"/>
      <c r="E271" s="132"/>
      <c r="F271" s="192">
        <f>F272+F332+F355+F377</f>
        <v>2872244.5736800004</v>
      </c>
      <c r="G271" s="192">
        <f>G272+G332+G355+G377</f>
        <v>2122959.3296600003</v>
      </c>
      <c r="H271" s="192">
        <f>H272+H332+H355+H377</f>
        <v>2751315.7636799999</v>
      </c>
      <c r="I271" s="192">
        <f>H271/F271*100</f>
        <v>95.78974537516271</v>
      </c>
    </row>
    <row r="272" spans="1:9" s="102" customFormat="1" ht="24">
      <c r="A272" s="110" t="s">
        <v>273</v>
      </c>
      <c r="B272" s="111" t="s">
        <v>163</v>
      </c>
      <c r="C272" s="111"/>
      <c r="D272" s="111"/>
      <c r="E272" s="111"/>
      <c r="F272" s="112">
        <f>F273+F279+F290+F296+F302+F308+F314+F285+F320+F326</f>
        <v>2805932.1436800002</v>
      </c>
      <c r="G272" s="112">
        <f t="shared" ref="G272:H272" si="97">G273+G279+G290+G296+G302+G308+G314+G285+G320+G326</f>
        <v>2092091.9223600002</v>
      </c>
      <c r="H272" s="112">
        <f t="shared" si="97"/>
        <v>2687354.7236799998</v>
      </c>
      <c r="I272" s="112">
        <f t="shared" si="86"/>
        <v>95.774045346496322</v>
      </c>
    </row>
    <row r="273" spans="1:9" s="102" customFormat="1" ht="24">
      <c r="A273" s="124" t="s">
        <v>274</v>
      </c>
      <c r="B273" s="125" t="s">
        <v>164</v>
      </c>
      <c r="C273" s="125"/>
      <c r="D273" s="125"/>
      <c r="E273" s="125"/>
      <c r="F273" s="126">
        <f>F274</f>
        <v>464820.95500000002</v>
      </c>
      <c r="G273" s="126">
        <f t="shared" ref="G273:H275" si="98">G274</f>
        <v>302181.16037999996</v>
      </c>
      <c r="H273" s="126">
        <f t="shared" si="98"/>
        <v>409814.05499999999</v>
      </c>
      <c r="I273" s="126">
        <f t="shared" si="86"/>
        <v>88.16600254177439</v>
      </c>
    </row>
    <row r="274" spans="1:9" s="102" customFormat="1" ht="12">
      <c r="A274" s="51" t="s">
        <v>381</v>
      </c>
      <c r="B274" s="21" t="s">
        <v>681</v>
      </c>
      <c r="C274" s="21" t="s">
        <v>490</v>
      </c>
      <c r="D274" s="21"/>
      <c r="E274" s="125"/>
      <c r="F274" s="112">
        <f>F275</f>
        <v>464820.95500000002</v>
      </c>
      <c r="G274" s="112">
        <f t="shared" si="98"/>
        <v>302181.16037999996</v>
      </c>
      <c r="H274" s="112">
        <f t="shared" si="98"/>
        <v>409814.05499999999</v>
      </c>
      <c r="I274" s="112">
        <f t="shared" si="86"/>
        <v>88.16600254177439</v>
      </c>
    </row>
    <row r="275" spans="1:9" s="102" customFormat="1" ht="12">
      <c r="A275" s="54" t="s">
        <v>382</v>
      </c>
      <c r="B275" s="21" t="s">
        <v>681</v>
      </c>
      <c r="C275" s="21" t="s">
        <v>490</v>
      </c>
      <c r="D275" s="21" t="s">
        <v>76</v>
      </c>
      <c r="E275" s="125"/>
      <c r="F275" s="112">
        <f>F276</f>
        <v>464820.95500000002</v>
      </c>
      <c r="G275" s="112">
        <f t="shared" si="98"/>
        <v>302181.16037999996</v>
      </c>
      <c r="H275" s="112">
        <f t="shared" si="98"/>
        <v>409814.05499999999</v>
      </c>
      <c r="I275" s="112">
        <f t="shared" si="86"/>
        <v>88.16600254177439</v>
      </c>
    </row>
    <row r="276" spans="1:9" s="102" customFormat="1" ht="24">
      <c r="A276" s="119" t="s">
        <v>104</v>
      </c>
      <c r="B276" s="120" t="s">
        <v>681</v>
      </c>
      <c r="C276" s="120" t="s">
        <v>490</v>
      </c>
      <c r="D276" s="120" t="s">
        <v>76</v>
      </c>
      <c r="E276" s="120" t="s">
        <v>408</v>
      </c>
      <c r="F276" s="121">
        <f>F277+F278</f>
        <v>464820.95500000002</v>
      </c>
      <c r="G276" s="121">
        <f t="shared" ref="G276:H276" si="99">G277+G278</f>
        <v>302181.16037999996</v>
      </c>
      <c r="H276" s="121">
        <f t="shared" si="99"/>
        <v>409814.05499999999</v>
      </c>
      <c r="I276" s="121">
        <f t="shared" si="86"/>
        <v>88.16600254177439</v>
      </c>
    </row>
    <row r="277" spans="1:9" s="102" customFormat="1" ht="12">
      <c r="A277" s="119" t="s">
        <v>105</v>
      </c>
      <c r="B277" s="120" t="s">
        <v>681</v>
      </c>
      <c r="C277" s="120" t="s">
        <v>490</v>
      </c>
      <c r="D277" s="120" t="s">
        <v>76</v>
      </c>
      <c r="E277" s="120" t="s">
        <v>425</v>
      </c>
      <c r="F277" s="121">
        <f>441554.3544-15450-5000</f>
        <v>421104.35440000001</v>
      </c>
      <c r="G277" s="121">
        <v>271318.54852999997</v>
      </c>
      <c r="H277" s="121">
        <f>441554.3544-15450-5000-55006.9</f>
        <v>366097.45439999999</v>
      </c>
      <c r="I277" s="121">
        <f t="shared" si="86"/>
        <v>86.937465873898361</v>
      </c>
    </row>
    <row r="278" spans="1:9" s="102" customFormat="1" ht="12">
      <c r="A278" s="119" t="s">
        <v>516</v>
      </c>
      <c r="B278" s="120" t="s">
        <v>681</v>
      </c>
      <c r="C278" s="120" t="s">
        <v>490</v>
      </c>
      <c r="D278" s="120" t="s">
        <v>76</v>
      </c>
      <c r="E278" s="120" t="s">
        <v>517</v>
      </c>
      <c r="F278" s="121">
        <v>43716.600599999998</v>
      </c>
      <c r="G278" s="121">
        <v>30862.611850000001</v>
      </c>
      <c r="H278" s="121">
        <v>43716.600599999998</v>
      </c>
      <c r="I278" s="121">
        <f t="shared" si="86"/>
        <v>100</v>
      </c>
    </row>
    <row r="279" spans="1:9" s="102" customFormat="1" ht="48">
      <c r="A279" s="124" t="s">
        <v>364</v>
      </c>
      <c r="B279" s="125" t="s">
        <v>165</v>
      </c>
      <c r="C279" s="125"/>
      <c r="D279" s="125"/>
      <c r="E279" s="125"/>
      <c r="F279" s="126">
        <f>F280</f>
        <v>758430</v>
      </c>
      <c r="G279" s="126">
        <f t="shared" ref="G279:H281" si="100">G280</f>
        <v>564013.64904000005</v>
      </c>
      <c r="H279" s="126">
        <f t="shared" si="100"/>
        <v>718311.3</v>
      </c>
      <c r="I279" s="126">
        <f t="shared" si="86"/>
        <v>94.710296269926047</v>
      </c>
    </row>
    <row r="280" spans="1:9" s="102" customFormat="1" ht="12">
      <c r="A280" s="51" t="s">
        <v>381</v>
      </c>
      <c r="B280" s="111" t="s">
        <v>165</v>
      </c>
      <c r="C280" s="21" t="s">
        <v>490</v>
      </c>
      <c r="D280" s="21"/>
      <c r="E280" s="125"/>
      <c r="F280" s="112">
        <f>F281</f>
        <v>758430</v>
      </c>
      <c r="G280" s="112">
        <f t="shared" si="100"/>
        <v>564013.64904000005</v>
      </c>
      <c r="H280" s="112">
        <f t="shared" si="100"/>
        <v>718311.3</v>
      </c>
      <c r="I280" s="112">
        <f t="shared" si="86"/>
        <v>94.710296269926047</v>
      </c>
    </row>
    <row r="281" spans="1:9" s="102" customFormat="1" ht="12">
      <c r="A281" s="54" t="s">
        <v>382</v>
      </c>
      <c r="B281" s="111" t="s">
        <v>165</v>
      </c>
      <c r="C281" s="21" t="s">
        <v>490</v>
      </c>
      <c r="D281" s="21" t="s">
        <v>76</v>
      </c>
      <c r="E281" s="125"/>
      <c r="F281" s="112">
        <f>F282</f>
        <v>758430</v>
      </c>
      <c r="G281" s="112">
        <f t="shared" si="100"/>
        <v>564013.64904000005</v>
      </c>
      <c r="H281" s="112">
        <f t="shared" si="100"/>
        <v>718311.3</v>
      </c>
      <c r="I281" s="112">
        <f t="shared" si="86"/>
        <v>94.710296269926047</v>
      </c>
    </row>
    <row r="282" spans="1:9" s="102" customFormat="1" ht="24">
      <c r="A282" s="119" t="s">
        <v>104</v>
      </c>
      <c r="B282" s="120" t="s">
        <v>165</v>
      </c>
      <c r="C282" s="120" t="s">
        <v>490</v>
      </c>
      <c r="D282" s="120" t="s">
        <v>76</v>
      </c>
      <c r="E282" s="120" t="s">
        <v>408</v>
      </c>
      <c r="F282" s="121">
        <f>F283+F284</f>
        <v>758430</v>
      </c>
      <c r="G282" s="121">
        <f t="shared" ref="G282:H282" si="101">G283+G284</f>
        <v>564013.64904000005</v>
      </c>
      <c r="H282" s="121">
        <f t="shared" si="101"/>
        <v>718311.3</v>
      </c>
      <c r="I282" s="121">
        <f t="shared" si="86"/>
        <v>94.710296269926047</v>
      </c>
    </row>
    <row r="283" spans="1:9" s="102" customFormat="1" ht="12">
      <c r="A283" s="119" t="s">
        <v>105</v>
      </c>
      <c r="B283" s="120" t="s">
        <v>165</v>
      </c>
      <c r="C283" s="120" t="s">
        <v>490</v>
      </c>
      <c r="D283" s="120" t="s">
        <v>76</v>
      </c>
      <c r="E283" s="120" t="s">
        <v>425</v>
      </c>
      <c r="F283" s="121">
        <v>704828</v>
      </c>
      <c r="G283" s="121">
        <v>512248.37507000001</v>
      </c>
      <c r="H283" s="121">
        <f>652434.34449+12275</f>
        <v>664709.34449000005</v>
      </c>
      <c r="I283" s="121">
        <f t="shared" si="86"/>
        <v>94.308021884771904</v>
      </c>
    </row>
    <row r="284" spans="1:9" s="102" customFormat="1" ht="12">
      <c r="A284" s="119" t="s">
        <v>516</v>
      </c>
      <c r="B284" s="120" t="s">
        <v>165</v>
      </c>
      <c r="C284" s="120" t="s">
        <v>490</v>
      </c>
      <c r="D284" s="120" t="s">
        <v>76</v>
      </c>
      <c r="E284" s="120" t="s">
        <v>517</v>
      </c>
      <c r="F284" s="121">
        <v>53602</v>
      </c>
      <c r="G284" s="121">
        <v>51765.273970000002</v>
      </c>
      <c r="H284" s="121">
        <f>65876.95551-12275</f>
        <v>53601.95551</v>
      </c>
      <c r="I284" s="121">
        <f t="shared" si="86"/>
        <v>99.999916999365695</v>
      </c>
    </row>
    <row r="285" spans="1:9" s="102" customFormat="1" ht="24">
      <c r="A285" s="69" t="s">
        <v>727</v>
      </c>
      <c r="B285" s="21" t="s">
        <v>726</v>
      </c>
      <c r="C285" s="21"/>
      <c r="D285" s="21"/>
      <c r="E285" s="21"/>
      <c r="F285" s="38">
        <f>F286</f>
        <v>1711.5</v>
      </c>
      <c r="G285" s="38">
        <f t="shared" ref="G285:H288" si="102">G286</f>
        <v>1711.5</v>
      </c>
      <c r="H285" s="38">
        <f t="shared" si="102"/>
        <v>1711.5</v>
      </c>
      <c r="I285" s="112">
        <f t="shared" si="86"/>
        <v>100</v>
      </c>
    </row>
    <row r="286" spans="1:9" s="102" customFormat="1" ht="12">
      <c r="A286" s="51" t="s">
        <v>381</v>
      </c>
      <c r="B286" s="21" t="s">
        <v>726</v>
      </c>
      <c r="C286" s="21" t="s">
        <v>490</v>
      </c>
      <c r="D286" s="21"/>
      <c r="E286" s="21"/>
      <c r="F286" s="38">
        <f>F287</f>
        <v>1711.5</v>
      </c>
      <c r="G286" s="38">
        <f t="shared" si="102"/>
        <v>1711.5</v>
      </c>
      <c r="H286" s="38">
        <f t="shared" si="102"/>
        <v>1711.5</v>
      </c>
      <c r="I286" s="112">
        <f t="shared" si="86"/>
        <v>100</v>
      </c>
    </row>
    <row r="287" spans="1:9" s="102" customFormat="1" ht="12">
      <c r="A287" s="54" t="s">
        <v>382</v>
      </c>
      <c r="B287" s="21" t="s">
        <v>726</v>
      </c>
      <c r="C287" s="21" t="s">
        <v>490</v>
      </c>
      <c r="D287" s="21" t="s">
        <v>76</v>
      </c>
      <c r="E287" s="21"/>
      <c r="F287" s="38">
        <f>F288</f>
        <v>1711.5</v>
      </c>
      <c r="G287" s="38">
        <f t="shared" si="102"/>
        <v>1711.5</v>
      </c>
      <c r="H287" s="38">
        <f t="shared" si="102"/>
        <v>1711.5</v>
      </c>
      <c r="I287" s="112">
        <f t="shared" si="86"/>
        <v>100</v>
      </c>
    </row>
    <row r="288" spans="1:9" s="102" customFormat="1" ht="24">
      <c r="A288" s="72" t="s">
        <v>104</v>
      </c>
      <c r="B288" s="28" t="s">
        <v>726</v>
      </c>
      <c r="C288" s="28" t="s">
        <v>490</v>
      </c>
      <c r="D288" s="28" t="s">
        <v>76</v>
      </c>
      <c r="E288" s="28" t="s">
        <v>408</v>
      </c>
      <c r="F288" s="37">
        <f>F289</f>
        <v>1711.5</v>
      </c>
      <c r="G288" s="37">
        <f t="shared" si="102"/>
        <v>1711.5</v>
      </c>
      <c r="H288" s="37">
        <f t="shared" si="102"/>
        <v>1711.5</v>
      </c>
      <c r="I288" s="121">
        <f t="shared" si="86"/>
        <v>100</v>
      </c>
    </row>
    <row r="289" spans="1:9" s="102" customFormat="1" ht="12">
      <c r="A289" s="72" t="s">
        <v>105</v>
      </c>
      <c r="B289" s="28" t="s">
        <v>726</v>
      </c>
      <c r="C289" s="28" t="s">
        <v>490</v>
      </c>
      <c r="D289" s="28" t="s">
        <v>76</v>
      </c>
      <c r="E289" s="28" t="s">
        <v>425</v>
      </c>
      <c r="F289" s="37">
        <v>1711.5</v>
      </c>
      <c r="G289" s="37">
        <v>1711.5</v>
      </c>
      <c r="H289" s="37">
        <v>1711.5</v>
      </c>
      <c r="I289" s="121">
        <f t="shared" si="86"/>
        <v>100</v>
      </c>
    </row>
    <row r="290" spans="1:9" s="102" customFormat="1" ht="24">
      <c r="A290" s="124" t="s">
        <v>275</v>
      </c>
      <c r="B290" s="125" t="s">
        <v>168</v>
      </c>
      <c r="C290" s="125"/>
      <c r="D290" s="125"/>
      <c r="E290" s="125"/>
      <c r="F290" s="126">
        <f>F291</f>
        <v>258084.17</v>
      </c>
      <c r="G290" s="126">
        <f t="shared" ref="G290:H292" si="103">G291</f>
        <v>203871.52492</v>
      </c>
      <c r="H290" s="126">
        <f t="shared" si="103"/>
        <v>248084.17</v>
      </c>
      <c r="I290" s="126">
        <f t="shared" si="86"/>
        <v>96.125295092682364</v>
      </c>
    </row>
    <row r="291" spans="1:9" s="102" customFormat="1" ht="12">
      <c r="A291" s="51" t="s">
        <v>381</v>
      </c>
      <c r="B291" s="21" t="s">
        <v>682</v>
      </c>
      <c r="C291" s="21" t="s">
        <v>490</v>
      </c>
      <c r="D291" s="21"/>
      <c r="E291" s="125"/>
      <c r="F291" s="112">
        <f>F292</f>
        <v>258084.17</v>
      </c>
      <c r="G291" s="112">
        <f t="shared" si="103"/>
        <v>203871.52492</v>
      </c>
      <c r="H291" s="112">
        <f t="shared" si="103"/>
        <v>248084.17</v>
      </c>
      <c r="I291" s="112">
        <f t="shared" si="86"/>
        <v>96.125295092682364</v>
      </c>
    </row>
    <row r="292" spans="1:9" s="102" customFormat="1" ht="12">
      <c r="A292" s="69" t="s">
        <v>383</v>
      </c>
      <c r="B292" s="21" t="s">
        <v>682</v>
      </c>
      <c r="C292" s="21" t="s">
        <v>490</v>
      </c>
      <c r="D292" s="21" t="s">
        <v>491</v>
      </c>
      <c r="E292" s="125"/>
      <c r="F292" s="112">
        <f>F293</f>
        <v>258084.17</v>
      </c>
      <c r="G292" s="112">
        <f t="shared" si="103"/>
        <v>203871.52492</v>
      </c>
      <c r="H292" s="112">
        <f t="shared" si="103"/>
        <v>248084.17</v>
      </c>
      <c r="I292" s="112">
        <f t="shared" si="86"/>
        <v>96.125295092682364</v>
      </c>
    </row>
    <row r="293" spans="1:9" s="102" customFormat="1" ht="24">
      <c r="A293" s="119" t="s">
        <v>104</v>
      </c>
      <c r="B293" s="120" t="s">
        <v>682</v>
      </c>
      <c r="C293" s="120" t="s">
        <v>490</v>
      </c>
      <c r="D293" s="120" t="s">
        <v>491</v>
      </c>
      <c r="E293" s="120" t="s">
        <v>408</v>
      </c>
      <c r="F293" s="121">
        <f>F294+F295</f>
        <v>258084.17</v>
      </c>
      <c r="G293" s="121">
        <f t="shared" ref="G293:H293" si="104">G294+G295</f>
        <v>203871.52492</v>
      </c>
      <c r="H293" s="121">
        <f t="shared" si="104"/>
        <v>248084.17</v>
      </c>
      <c r="I293" s="121">
        <f t="shared" si="86"/>
        <v>96.125295092682364</v>
      </c>
    </row>
    <row r="294" spans="1:9" s="102" customFormat="1" ht="12">
      <c r="A294" s="119" t="s">
        <v>105</v>
      </c>
      <c r="B294" s="120" t="s">
        <v>682</v>
      </c>
      <c r="C294" s="120" t="s">
        <v>490</v>
      </c>
      <c r="D294" s="120" t="s">
        <v>491</v>
      </c>
      <c r="E294" s="120" t="s">
        <v>425</v>
      </c>
      <c r="F294" s="121">
        <f>258811.95381-14200+5000</f>
        <v>249611.95381000001</v>
      </c>
      <c r="G294" s="121">
        <v>197820.91441999999</v>
      </c>
      <c r="H294" s="121">
        <f>258811.95381-14200+5000-10000</f>
        <v>239611.95381000001</v>
      </c>
      <c r="I294" s="121">
        <f t="shared" si="86"/>
        <v>95.993781608868062</v>
      </c>
    </row>
    <row r="295" spans="1:9" s="102" customFormat="1" ht="12">
      <c r="A295" s="119" t="s">
        <v>516</v>
      </c>
      <c r="B295" s="120" t="s">
        <v>682</v>
      </c>
      <c r="C295" s="120" t="s">
        <v>490</v>
      </c>
      <c r="D295" s="120" t="s">
        <v>491</v>
      </c>
      <c r="E295" s="120" t="s">
        <v>517</v>
      </c>
      <c r="F295" s="121">
        <f>8772.21619-300</f>
        <v>8472.2161899999992</v>
      </c>
      <c r="G295" s="121">
        <v>6050.6104999999998</v>
      </c>
      <c r="H295" s="121">
        <f>8772.21619-300</f>
        <v>8472.2161899999992</v>
      </c>
      <c r="I295" s="121">
        <f t="shared" si="86"/>
        <v>100</v>
      </c>
    </row>
    <row r="296" spans="1:9" s="102" customFormat="1" ht="60">
      <c r="A296" s="140" t="s">
        <v>372</v>
      </c>
      <c r="B296" s="125" t="s">
        <v>276</v>
      </c>
      <c r="C296" s="125"/>
      <c r="D296" s="125"/>
      <c r="E296" s="125"/>
      <c r="F296" s="126">
        <f>F297</f>
        <v>1016598.7</v>
      </c>
      <c r="G296" s="126">
        <f t="shared" ref="G296:H298" si="105">G297</f>
        <v>830881.84587000008</v>
      </c>
      <c r="H296" s="126">
        <f t="shared" si="105"/>
        <v>1003146.8799999999</v>
      </c>
      <c r="I296" s="126">
        <f t="shared" si="86"/>
        <v>98.676781703537486</v>
      </c>
    </row>
    <row r="297" spans="1:9" s="102" customFormat="1" ht="12">
      <c r="A297" s="51" t="s">
        <v>381</v>
      </c>
      <c r="B297" s="111" t="s">
        <v>276</v>
      </c>
      <c r="C297" s="21" t="s">
        <v>490</v>
      </c>
      <c r="D297" s="21"/>
      <c r="E297" s="125"/>
      <c r="F297" s="112">
        <f>F298</f>
        <v>1016598.7</v>
      </c>
      <c r="G297" s="112">
        <f t="shared" si="105"/>
        <v>830881.84587000008</v>
      </c>
      <c r="H297" s="112">
        <f t="shared" si="105"/>
        <v>1003146.8799999999</v>
      </c>
      <c r="I297" s="112">
        <f t="shared" si="86"/>
        <v>98.676781703537486</v>
      </c>
    </row>
    <row r="298" spans="1:9" s="102" customFormat="1" ht="12">
      <c r="A298" s="69" t="s">
        <v>383</v>
      </c>
      <c r="B298" s="111" t="s">
        <v>276</v>
      </c>
      <c r="C298" s="21" t="s">
        <v>490</v>
      </c>
      <c r="D298" s="21" t="s">
        <v>491</v>
      </c>
      <c r="E298" s="125"/>
      <c r="F298" s="112">
        <f>F299</f>
        <v>1016598.7</v>
      </c>
      <c r="G298" s="112">
        <f t="shared" si="105"/>
        <v>830881.84587000008</v>
      </c>
      <c r="H298" s="112">
        <f t="shared" si="105"/>
        <v>1003146.8799999999</v>
      </c>
      <c r="I298" s="112">
        <f t="shared" si="86"/>
        <v>98.676781703537486</v>
      </c>
    </row>
    <row r="299" spans="1:9" s="102" customFormat="1" ht="24">
      <c r="A299" s="119" t="s">
        <v>104</v>
      </c>
      <c r="B299" s="120" t="s">
        <v>276</v>
      </c>
      <c r="C299" s="120" t="s">
        <v>490</v>
      </c>
      <c r="D299" s="120" t="s">
        <v>491</v>
      </c>
      <c r="E299" s="120" t="s">
        <v>408</v>
      </c>
      <c r="F299" s="121">
        <f>F300+F301</f>
        <v>1016598.7</v>
      </c>
      <c r="G299" s="121">
        <f t="shared" ref="G299:H299" si="106">G300+G301</f>
        <v>830881.84587000008</v>
      </c>
      <c r="H299" s="121">
        <f t="shared" si="106"/>
        <v>1003146.8799999999</v>
      </c>
      <c r="I299" s="121">
        <f t="shared" si="86"/>
        <v>98.676781703537486</v>
      </c>
    </row>
    <row r="300" spans="1:9" s="102" customFormat="1" ht="12">
      <c r="A300" s="119" t="s">
        <v>105</v>
      </c>
      <c r="B300" s="120" t="s">
        <v>276</v>
      </c>
      <c r="C300" s="120" t="s">
        <v>490</v>
      </c>
      <c r="D300" s="120" t="s">
        <v>491</v>
      </c>
      <c r="E300" s="120" t="s">
        <v>425</v>
      </c>
      <c r="F300" s="121">
        <v>976429.2</v>
      </c>
      <c r="G300" s="121">
        <v>796893.79861000006</v>
      </c>
      <c r="H300" s="121">
        <f>962104.288+873.1</f>
        <v>962977.38799999992</v>
      </c>
      <c r="I300" s="121">
        <f t="shared" si="86"/>
        <v>98.622346402586075</v>
      </c>
    </row>
    <row r="301" spans="1:9" s="102" customFormat="1" ht="12">
      <c r="A301" s="119" t="s">
        <v>516</v>
      </c>
      <c r="B301" s="120" t="s">
        <v>276</v>
      </c>
      <c r="C301" s="120" t="s">
        <v>490</v>
      </c>
      <c r="D301" s="120" t="s">
        <v>491</v>
      </c>
      <c r="E301" s="120" t="s">
        <v>517</v>
      </c>
      <c r="F301" s="121">
        <v>40169.5</v>
      </c>
      <c r="G301" s="121">
        <v>33988.047259999999</v>
      </c>
      <c r="H301" s="121">
        <f>41042.592-873.1</f>
        <v>40169.491999999998</v>
      </c>
      <c r="I301" s="121">
        <f t="shared" si="86"/>
        <v>99.999980084392377</v>
      </c>
    </row>
    <row r="302" spans="1:9" s="102" customFormat="1" ht="24">
      <c r="A302" s="124" t="s">
        <v>278</v>
      </c>
      <c r="B302" s="125" t="s">
        <v>169</v>
      </c>
      <c r="C302" s="125"/>
      <c r="D302" s="125"/>
      <c r="E302" s="125"/>
      <c r="F302" s="126">
        <f>F303</f>
        <v>101291.375</v>
      </c>
      <c r="G302" s="126">
        <f t="shared" ref="G302:H304" si="107">G303</f>
        <v>78958.954259999999</v>
      </c>
      <c r="H302" s="126">
        <f t="shared" si="107"/>
        <v>101291.375</v>
      </c>
      <c r="I302" s="126">
        <f t="shared" si="86"/>
        <v>100</v>
      </c>
    </row>
    <row r="303" spans="1:9" s="102" customFormat="1" ht="12">
      <c r="A303" s="51" t="s">
        <v>381</v>
      </c>
      <c r="B303" s="111" t="s">
        <v>169</v>
      </c>
      <c r="C303" s="111" t="s">
        <v>490</v>
      </c>
      <c r="D303" s="111"/>
      <c r="E303" s="111"/>
      <c r="F303" s="112">
        <f>F304</f>
        <v>101291.375</v>
      </c>
      <c r="G303" s="112">
        <f t="shared" si="107"/>
        <v>78958.954259999999</v>
      </c>
      <c r="H303" s="112">
        <f t="shared" si="107"/>
        <v>101291.375</v>
      </c>
      <c r="I303" s="112">
        <f t="shared" ref="I303:I366" si="108">H303/F303*100</f>
        <v>100</v>
      </c>
    </row>
    <row r="304" spans="1:9" s="102" customFormat="1" ht="12">
      <c r="A304" s="69" t="s">
        <v>277</v>
      </c>
      <c r="B304" s="111" t="s">
        <v>169</v>
      </c>
      <c r="C304" s="111" t="s">
        <v>490</v>
      </c>
      <c r="D304" s="111" t="s">
        <v>483</v>
      </c>
      <c r="E304" s="111"/>
      <c r="F304" s="112">
        <f>F305</f>
        <v>101291.375</v>
      </c>
      <c r="G304" s="112">
        <f t="shared" si="107"/>
        <v>78958.954259999999</v>
      </c>
      <c r="H304" s="112">
        <f t="shared" si="107"/>
        <v>101291.375</v>
      </c>
      <c r="I304" s="112">
        <f t="shared" si="108"/>
        <v>100</v>
      </c>
    </row>
    <row r="305" spans="1:9" s="102" customFormat="1" ht="24">
      <c r="A305" s="119" t="s">
        <v>104</v>
      </c>
      <c r="B305" s="120" t="s">
        <v>683</v>
      </c>
      <c r="C305" s="120" t="s">
        <v>490</v>
      </c>
      <c r="D305" s="120" t="s">
        <v>483</v>
      </c>
      <c r="E305" s="120" t="s">
        <v>408</v>
      </c>
      <c r="F305" s="121">
        <f>F306+F307</f>
        <v>101291.375</v>
      </c>
      <c r="G305" s="121">
        <f t="shared" ref="G305:H305" si="109">G306+G307</f>
        <v>78958.954259999999</v>
      </c>
      <c r="H305" s="121">
        <f t="shared" si="109"/>
        <v>101291.375</v>
      </c>
      <c r="I305" s="121">
        <f t="shared" si="108"/>
        <v>100</v>
      </c>
    </row>
    <row r="306" spans="1:9" s="102" customFormat="1" ht="12">
      <c r="A306" s="119" t="s">
        <v>105</v>
      </c>
      <c r="B306" s="120" t="s">
        <v>683</v>
      </c>
      <c r="C306" s="120" t="s">
        <v>490</v>
      </c>
      <c r="D306" s="120" t="s">
        <v>483</v>
      </c>
      <c r="E306" s="120" t="s">
        <v>425</v>
      </c>
      <c r="F306" s="121">
        <v>3223.9064499999999</v>
      </c>
      <c r="G306" s="121">
        <v>2199.07042</v>
      </c>
      <c r="H306" s="121">
        <v>3223.9064499999999</v>
      </c>
      <c r="I306" s="121">
        <f t="shared" si="108"/>
        <v>100</v>
      </c>
    </row>
    <row r="307" spans="1:9" s="102" customFormat="1" ht="12">
      <c r="A307" s="119" t="s">
        <v>516</v>
      </c>
      <c r="B307" s="120" t="s">
        <v>683</v>
      </c>
      <c r="C307" s="120" t="s">
        <v>490</v>
      </c>
      <c r="D307" s="120" t="s">
        <v>483</v>
      </c>
      <c r="E307" s="120" t="s">
        <v>517</v>
      </c>
      <c r="F307" s="121">
        <v>98067.468550000005</v>
      </c>
      <c r="G307" s="121">
        <v>76759.883839999995</v>
      </c>
      <c r="H307" s="121">
        <v>98067.468550000005</v>
      </c>
      <c r="I307" s="121">
        <f t="shared" si="108"/>
        <v>100</v>
      </c>
    </row>
    <row r="308" spans="1:9" s="102" customFormat="1" ht="24">
      <c r="A308" s="124" t="s">
        <v>280</v>
      </c>
      <c r="B308" s="125" t="s">
        <v>279</v>
      </c>
      <c r="C308" s="125"/>
      <c r="D308" s="125"/>
      <c r="E308" s="125"/>
      <c r="F308" s="126">
        <f>F309</f>
        <v>23779.200000000001</v>
      </c>
      <c r="G308" s="126">
        <f t="shared" ref="G308:H310" si="110">G309</f>
        <v>18592.860540000001</v>
      </c>
      <c r="H308" s="126">
        <f t="shared" si="110"/>
        <v>23779.200000000001</v>
      </c>
      <c r="I308" s="126">
        <f t="shared" si="108"/>
        <v>100</v>
      </c>
    </row>
    <row r="309" spans="1:9" s="102" customFormat="1" ht="12">
      <c r="A309" s="51" t="s">
        <v>381</v>
      </c>
      <c r="B309" s="111" t="s">
        <v>684</v>
      </c>
      <c r="C309" s="111" t="s">
        <v>490</v>
      </c>
      <c r="D309" s="111"/>
      <c r="E309" s="111"/>
      <c r="F309" s="112">
        <f>F310</f>
        <v>23779.200000000001</v>
      </c>
      <c r="G309" s="112">
        <f t="shared" si="110"/>
        <v>18592.860540000001</v>
      </c>
      <c r="H309" s="112">
        <f t="shared" si="110"/>
        <v>23779.200000000001</v>
      </c>
      <c r="I309" s="112">
        <f t="shared" si="108"/>
        <v>100</v>
      </c>
    </row>
    <row r="310" spans="1:9" s="102" customFormat="1" ht="12">
      <c r="A310" s="69" t="s">
        <v>385</v>
      </c>
      <c r="B310" s="111" t="s">
        <v>684</v>
      </c>
      <c r="C310" s="111" t="s">
        <v>490</v>
      </c>
      <c r="D310" s="111" t="s">
        <v>484</v>
      </c>
      <c r="E310" s="111"/>
      <c r="F310" s="112">
        <f>F311</f>
        <v>23779.200000000001</v>
      </c>
      <c r="G310" s="112">
        <f t="shared" si="110"/>
        <v>18592.860540000001</v>
      </c>
      <c r="H310" s="112">
        <f t="shared" si="110"/>
        <v>23779.200000000001</v>
      </c>
      <c r="I310" s="112">
        <f t="shared" si="108"/>
        <v>100</v>
      </c>
    </row>
    <row r="311" spans="1:9" s="102" customFormat="1" ht="24">
      <c r="A311" s="119" t="s">
        <v>104</v>
      </c>
      <c r="B311" s="120" t="s">
        <v>684</v>
      </c>
      <c r="C311" s="120" t="s">
        <v>490</v>
      </c>
      <c r="D311" s="120" t="s">
        <v>484</v>
      </c>
      <c r="E311" s="120" t="s">
        <v>408</v>
      </c>
      <c r="F311" s="121">
        <f>F312+F313</f>
        <v>23779.200000000001</v>
      </c>
      <c r="G311" s="121">
        <f t="shared" ref="G311:H311" si="111">G312+G313</f>
        <v>18592.860540000001</v>
      </c>
      <c r="H311" s="121">
        <f t="shared" si="111"/>
        <v>23779.200000000001</v>
      </c>
      <c r="I311" s="121">
        <f t="shared" si="108"/>
        <v>100</v>
      </c>
    </row>
    <row r="312" spans="1:9" s="102" customFormat="1" ht="12">
      <c r="A312" s="119" t="s">
        <v>105</v>
      </c>
      <c r="B312" s="120" t="s">
        <v>684</v>
      </c>
      <c r="C312" s="120" t="s">
        <v>490</v>
      </c>
      <c r="D312" s="120" t="s">
        <v>484</v>
      </c>
      <c r="E312" s="120" t="s">
        <v>425</v>
      </c>
      <c r="F312" s="121">
        <f>9279.2-1000+14200-493.099</f>
        <v>21986.101000000002</v>
      </c>
      <c r="G312" s="121">
        <v>16885.01354</v>
      </c>
      <c r="H312" s="121">
        <f>9279.2-1000+14200-493.099</f>
        <v>21986.101000000002</v>
      </c>
      <c r="I312" s="121">
        <f t="shared" si="108"/>
        <v>100</v>
      </c>
    </row>
    <row r="313" spans="1:9" s="102" customFormat="1" ht="12">
      <c r="A313" s="119" t="s">
        <v>516</v>
      </c>
      <c r="B313" s="120" t="s">
        <v>684</v>
      </c>
      <c r="C313" s="120" t="s">
        <v>490</v>
      </c>
      <c r="D313" s="120" t="s">
        <v>484</v>
      </c>
      <c r="E313" s="120" t="s">
        <v>517</v>
      </c>
      <c r="F313" s="121">
        <f>1000+300+493.099</f>
        <v>1793.0989999999999</v>
      </c>
      <c r="G313" s="121">
        <v>1707.847</v>
      </c>
      <c r="H313" s="121">
        <f>1000+300+493.099</f>
        <v>1793.0989999999999</v>
      </c>
      <c r="I313" s="121">
        <f t="shared" si="108"/>
        <v>100</v>
      </c>
    </row>
    <row r="314" spans="1:9" s="102" customFormat="1" ht="24">
      <c r="A314" s="124" t="s">
        <v>287</v>
      </c>
      <c r="B314" s="125" t="s">
        <v>281</v>
      </c>
      <c r="C314" s="139"/>
      <c r="D314" s="139"/>
      <c r="E314" s="125"/>
      <c r="F314" s="126">
        <f>F315</f>
        <v>77172</v>
      </c>
      <c r="G314" s="126">
        <f t="shared" ref="G314:H316" si="112">G315</f>
        <v>59841.83135</v>
      </c>
      <c r="H314" s="126">
        <f t="shared" si="112"/>
        <v>77172</v>
      </c>
      <c r="I314" s="126">
        <f t="shared" si="108"/>
        <v>100</v>
      </c>
    </row>
    <row r="315" spans="1:9" s="102" customFormat="1" ht="12">
      <c r="A315" s="51" t="s">
        <v>381</v>
      </c>
      <c r="B315" s="111" t="s">
        <v>685</v>
      </c>
      <c r="C315" s="111" t="s">
        <v>490</v>
      </c>
      <c r="D315" s="111"/>
      <c r="E315" s="111"/>
      <c r="F315" s="112">
        <f>F316</f>
        <v>77172</v>
      </c>
      <c r="G315" s="112">
        <f t="shared" si="112"/>
        <v>59841.83135</v>
      </c>
      <c r="H315" s="112">
        <f t="shared" si="112"/>
        <v>77172</v>
      </c>
      <c r="I315" s="112">
        <f t="shared" si="108"/>
        <v>100</v>
      </c>
    </row>
    <row r="316" spans="1:9" s="102" customFormat="1" ht="12">
      <c r="A316" s="69" t="s">
        <v>385</v>
      </c>
      <c r="B316" s="111" t="s">
        <v>685</v>
      </c>
      <c r="C316" s="111" t="s">
        <v>490</v>
      </c>
      <c r="D316" s="111" t="s">
        <v>484</v>
      </c>
      <c r="E316" s="111"/>
      <c r="F316" s="112">
        <f>F317</f>
        <v>77172</v>
      </c>
      <c r="G316" s="112">
        <f t="shared" si="112"/>
        <v>59841.83135</v>
      </c>
      <c r="H316" s="112">
        <f t="shared" si="112"/>
        <v>77172</v>
      </c>
      <c r="I316" s="112">
        <f t="shared" si="108"/>
        <v>100</v>
      </c>
    </row>
    <row r="317" spans="1:9" s="102" customFormat="1" ht="24">
      <c r="A317" s="119" t="s">
        <v>104</v>
      </c>
      <c r="B317" s="120" t="s">
        <v>685</v>
      </c>
      <c r="C317" s="120" t="s">
        <v>490</v>
      </c>
      <c r="D317" s="120" t="s">
        <v>484</v>
      </c>
      <c r="E317" s="120" t="s">
        <v>408</v>
      </c>
      <c r="F317" s="121">
        <f>F318+F319</f>
        <v>77172</v>
      </c>
      <c r="G317" s="121">
        <f t="shared" ref="G317:H317" si="113">G318+G319</f>
        <v>59841.83135</v>
      </c>
      <c r="H317" s="121">
        <f t="shared" si="113"/>
        <v>77172</v>
      </c>
      <c r="I317" s="121">
        <f t="shared" si="108"/>
        <v>100</v>
      </c>
    </row>
    <row r="318" spans="1:9" s="102" customFormat="1" ht="12">
      <c r="A318" s="119" t="s">
        <v>105</v>
      </c>
      <c r="B318" s="120" t="s">
        <v>685</v>
      </c>
      <c r="C318" s="120" t="s">
        <v>490</v>
      </c>
      <c r="D318" s="120" t="s">
        <v>484</v>
      </c>
      <c r="E318" s="120" t="s">
        <v>425</v>
      </c>
      <c r="F318" s="121">
        <f>68670+1241+421.652+117.75</f>
        <v>70450.402000000002</v>
      </c>
      <c r="G318" s="121">
        <v>55060.492149999998</v>
      </c>
      <c r="H318" s="121">
        <f>68670+1241+421.652+117.75</f>
        <v>70450.402000000002</v>
      </c>
      <c r="I318" s="121">
        <f t="shared" si="108"/>
        <v>100</v>
      </c>
    </row>
    <row r="319" spans="1:9" s="102" customFormat="1" ht="12">
      <c r="A319" s="119" t="s">
        <v>516</v>
      </c>
      <c r="B319" s="120" t="s">
        <v>685</v>
      </c>
      <c r="C319" s="120" t="s">
        <v>490</v>
      </c>
      <c r="D319" s="120" t="s">
        <v>484</v>
      </c>
      <c r="E319" s="120" t="s">
        <v>517</v>
      </c>
      <c r="F319" s="121">
        <f>8502-1241-421.652-117.75</f>
        <v>6721.598</v>
      </c>
      <c r="G319" s="121">
        <v>4781.3392000000003</v>
      </c>
      <c r="H319" s="121">
        <f>8502-1241-421.652-117.75</f>
        <v>6721.598</v>
      </c>
      <c r="I319" s="121">
        <f t="shared" si="108"/>
        <v>100</v>
      </c>
    </row>
    <row r="320" spans="1:9" s="102" customFormat="1" ht="36">
      <c r="A320" s="124" t="s">
        <v>770</v>
      </c>
      <c r="B320" s="125" t="s">
        <v>771</v>
      </c>
      <c r="C320" s="125"/>
      <c r="D320" s="125"/>
      <c r="E320" s="125"/>
      <c r="F320" s="126">
        <f>F321</f>
        <v>32810.400000000001</v>
      </c>
      <c r="G320" s="126">
        <f t="shared" ref="G320:H322" si="114">G321</f>
        <v>15956.704</v>
      </c>
      <c r="H320" s="126">
        <f t="shared" si="114"/>
        <v>32810.400000000001</v>
      </c>
      <c r="I320" s="126">
        <f t="shared" si="108"/>
        <v>100</v>
      </c>
    </row>
    <row r="321" spans="1:9" s="102" customFormat="1" ht="12">
      <c r="A321" s="51" t="s">
        <v>381</v>
      </c>
      <c r="B321" s="111" t="s">
        <v>771</v>
      </c>
      <c r="C321" s="21" t="s">
        <v>490</v>
      </c>
      <c r="D321" s="21"/>
      <c r="E321" s="125"/>
      <c r="F321" s="112">
        <f>F322</f>
        <v>32810.400000000001</v>
      </c>
      <c r="G321" s="112">
        <f t="shared" si="114"/>
        <v>15956.704</v>
      </c>
      <c r="H321" s="112">
        <f t="shared" si="114"/>
        <v>32810.400000000001</v>
      </c>
      <c r="I321" s="112">
        <f t="shared" si="108"/>
        <v>100</v>
      </c>
    </row>
    <row r="322" spans="1:9" s="102" customFormat="1" ht="12">
      <c r="A322" s="69" t="s">
        <v>383</v>
      </c>
      <c r="B322" s="111" t="s">
        <v>771</v>
      </c>
      <c r="C322" s="21" t="s">
        <v>490</v>
      </c>
      <c r="D322" s="21" t="s">
        <v>491</v>
      </c>
      <c r="E322" s="125"/>
      <c r="F322" s="112">
        <f>F323</f>
        <v>32810.400000000001</v>
      </c>
      <c r="G322" s="112">
        <f t="shared" si="114"/>
        <v>15956.704</v>
      </c>
      <c r="H322" s="112">
        <f t="shared" si="114"/>
        <v>32810.400000000001</v>
      </c>
      <c r="I322" s="112">
        <f t="shared" si="108"/>
        <v>100</v>
      </c>
    </row>
    <row r="323" spans="1:9" s="102" customFormat="1" ht="24">
      <c r="A323" s="119" t="s">
        <v>104</v>
      </c>
      <c r="B323" s="120" t="s">
        <v>771</v>
      </c>
      <c r="C323" s="120" t="s">
        <v>490</v>
      </c>
      <c r="D323" s="120" t="s">
        <v>491</v>
      </c>
      <c r="E323" s="120" t="s">
        <v>408</v>
      </c>
      <c r="F323" s="121">
        <f>F324+F325</f>
        <v>32810.400000000001</v>
      </c>
      <c r="G323" s="121">
        <f t="shared" ref="G323:H323" si="115">G324+G325</f>
        <v>15956.704</v>
      </c>
      <c r="H323" s="121">
        <f t="shared" si="115"/>
        <v>32810.400000000001</v>
      </c>
      <c r="I323" s="121">
        <f t="shared" si="108"/>
        <v>100</v>
      </c>
    </row>
    <row r="324" spans="1:9" s="102" customFormat="1" ht="12">
      <c r="A324" s="119" t="s">
        <v>105</v>
      </c>
      <c r="B324" s="120" t="s">
        <v>771</v>
      </c>
      <c r="C324" s="120" t="s">
        <v>490</v>
      </c>
      <c r="D324" s="120" t="s">
        <v>491</v>
      </c>
      <c r="E324" s="120" t="s">
        <v>425</v>
      </c>
      <c r="F324" s="121">
        <v>31560.48</v>
      </c>
      <c r="G324" s="121">
        <v>15335.75</v>
      </c>
      <c r="H324" s="121">
        <v>31560.48</v>
      </c>
      <c r="I324" s="121">
        <f t="shared" si="108"/>
        <v>100</v>
      </c>
    </row>
    <row r="325" spans="1:9" s="102" customFormat="1" ht="12">
      <c r="A325" s="119" t="s">
        <v>516</v>
      </c>
      <c r="B325" s="120" t="s">
        <v>771</v>
      </c>
      <c r="C325" s="120" t="s">
        <v>490</v>
      </c>
      <c r="D325" s="120" t="s">
        <v>491</v>
      </c>
      <c r="E325" s="120" t="s">
        <v>517</v>
      </c>
      <c r="F325" s="121">
        <v>1249.92</v>
      </c>
      <c r="G325" s="121">
        <v>620.95399999999995</v>
      </c>
      <c r="H325" s="121">
        <v>1249.92</v>
      </c>
      <c r="I325" s="121">
        <f t="shared" si="108"/>
        <v>100</v>
      </c>
    </row>
    <row r="326" spans="1:9" s="102" customFormat="1" ht="36">
      <c r="A326" s="124" t="s">
        <v>772</v>
      </c>
      <c r="B326" s="125" t="s">
        <v>773</v>
      </c>
      <c r="C326" s="125"/>
      <c r="D326" s="125"/>
      <c r="E326" s="125"/>
      <c r="F326" s="126">
        <f>F327</f>
        <v>71233.843680000005</v>
      </c>
      <c r="G326" s="126">
        <f t="shared" ref="G326:H328" si="116">G327</f>
        <v>16081.892</v>
      </c>
      <c r="H326" s="126">
        <f t="shared" si="116"/>
        <v>71233.843680000005</v>
      </c>
      <c r="I326" s="126">
        <f t="shared" si="108"/>
        <v>100</v>
      </c>
    </row>
    <row r="327" spans="1:9" s="102" customFormat="1" ht="12">
      <c r="A327" s="51" t="s">
        <v>381</v>
      </c>
      <c r="B327" s="111" t="s">
        <v>773</v>
      </c>
      <c r="C327" s="21" t="s">
        <v>490</v>
      </c>
      <c r="D327" s="21"/>
      <c r="E327" s="125"/>
      <c r="F327" s="112">
        <f>F328</f>
        <v>71233.843680000005</v>
      </c>
      <c r="G327" s="112">
        <f t="shared" si="116"/>
        <v>16081.892</v>
      </c>
      <c r="H327" s="112">
        <f t="shared" si="116"/>
        <v>71233.843680000005</v>
      </c>
      <c r="I327" s="112">
        <f t="shared" si="108"/>
        <v>100</v>
      </c>
    </row>
    <row r="328" spans="1:9" s="102" customFormat="1" ht="12">
      <c r="A328" s="69" t="s">
        <v>383</v>
      </c>
      <c r="B328" s="111" t="s">
        <v>773</v>
      </c>
      <c r="C328" s="21" t="s">
        <v>490</v>
      </c>
      <c r="D328" s="21" t="s">
        <v>491</v>
      </c>
      <c r="E328" s="125"/>
      <c r="F328" s="112">
        <f>F329</f>
        <v>71233.843680000005</v>
      </c>
      <c r="G328" s="112">
        <f t="shared" si="116"/>
        <v>16081.892</v>
      </c>
      <c r="H328" s="112">
        <f t="shared" si="116"/>
        <v>71233.843680000005</v>
      </c>
      <c r="I328" s="112">
        <f t="shared" si="108"/>
        <v>100</v>
      </c>
    </row>
    <row r="329" spans="1:9" s="102" customFormat="1" ht="24">
      <c r="A329" s="119" t="s">
        <v>104</v>
      </c>
      <c r="B329" s="120" t="s">
        <v>773</v>
      </c>
      <c r="C329" s="120" t="s">
        <v>490</v>
      </c>
      <c r="D329" s="120" t="s">
        <v>491</v>
      </c>
      <c r="E329" s="120" t="s">
        <v>408</v>
      </c>
      <c r="F329" s="121">
        <f>F330+F331</f>
        <v>71233.843680000005</v>
      </c>
      <c r="G329" s="121">
        <f t="shared" ref="G329:H329" si="117">G330+G331</f>
        <v>16081.892</v>
      </c>
      <c r="H329" s="121">
        <f t="shared" si="117"/>
        <v>71233.843680000005</v>
      </c>
      <c r="I329" s="121">
        <f t="shared" si="108"/>
        <v>100</v>
      </c>
    </row>
    <row r="330" spans="1:9" s="102" customFormat="1" ht="12">
      <c r="A330" s="119" t="s">
        <v>105</v>
      </c>
      <c r="B330" s="120" t="s">
        <v>773</v>
      </c>
      <c r="C330" s="120" t="s">
        <v>490</v>
      </c>
      <c r="D330" s="120" t="s">
        <v>491</v>
      </c>
      <c r="E330" s="120" t="s">
        <v>425</v>
      </c>
      <c r="F330" s="121">
        <v>67563.952680000002</v>
      </c>
      <c r="G330" s="121">
        <v>15405.727999999999</v>
      </c>
      <c r="H330" s="121">
        <v>67563.952680000002</v>
      </c>
      <c r="I330" s="121">
        <f t="shared" si="108"/>
        <v>100</v>
      </c>
    </row>
    <row r="331" spans="1:9" s="102" customFormat="1" ht="12">
      <c r="A331" s="119" t="s">
        <v>516</v>
      </c>
      <c r="B331" s="120" t="s">
        <v>773</v>
      </c>
      <c r="C331" s="120" t="s">
        <v>490</v>
      </c>
      <c r="D331" s="120" t="s">
        <v>491</v>
      </c>
      <c r="E331" s="120" t="s">
        <v>517</v>
      </c>
      <c r="F331" s="121">
        <v>3669.8910000000001</v>
      </c>
      <c r="G331" s="121">
        <v>676.16399999999999</v>
      </c>
      <c r="H331" s="121">
        <v>3669.8910000000001</v>
      </c>
      <c r="I331" s="121">
        <f t="shared" si="108"/>
        <v>100</v>
      </c>
    </row>
    <row r="332" spans="1:9" s="102" customFormat="1" ht="12">
      <c r="A332" s="110" t="s">
        <v>460</v>
      </c>
      <c r="B332" s="111" t="s">
        <v>170</v>
      </c>
      <c r="C332" s="111"/>
      <c r="D332" s="111"/>
      <c r="E332" s="111"/>
      <c r="F332" s="112">
        <f>F333+F343+F348</f>
        <v>6170</v>
      </c>
      <c r="G332" s="112">
        <f>G333+G343+G348</f>
        <v>4014.1324000000004</v>
      </c>
      <c r="H332" s="112">
        <f>H333+H343+H348</f>
        <v>6170</v>
      </c>
      <c r="I332" s="112">
        <f t="shared" si="108"/>
        <v>100</v>
      </c>
    </row>
    <row r="333" spans="1:9" s="102" customFormat="1" ht="24">
      <c r="A333" s="128" t="s">
        <v>173</v>
      </c>
      <c r="B333" s="125" t="s">
        <v>138</v>
      </c>
      <c r="C333" s="125"/>
      <c r="D333" s="125"/>
      <c r="E333" s="125"/>
      <c r="F333" s="126">
        <f>F334</f>
        <v>4085</v>
      </c>
      <c r="G333" s="126">
        <f t="shared" ref="G333:H335" si="118">G334</f>
        <v>3403.6184000000003</v>
      </c>
      <c r="H333" s="126">
        <f t="shared" si="118"/>
        <v>4085</v>
      </c>
      <c r="I333" s="126">
        <f t="shared" si="108"/>
        <v>100</v>
      </c>
    </row>
    <row r="334" spans="1:9" s="102" customFormat="1" ht="12">
      <c r="A334" s="51" t="s">
        <v>381</v>
      </c>
      <c r="B334" s="111" t="s">
        <v>687</v>
      </c>
      <c r="C334" s="111" t="s">
        <v>490</v>
      </c>
      <c r="D334" s="111"/>
      <c r="E334" s="125"/>
      <c r="F334" s="112">
        <f>F335</f>
        <v>4085</v>
      </c>
      <c r="G334" s="112">
        <f t="shared" si="118"/>
        <v>3403.6184000000003</v>
      </c>
      <c r="H334" s="112">
        <f t="shared" si="118"/>
        <v>4085</v>
      </c>
      <c r="I334" s="112">
        <f t="shared" si="108"/>
        <v>100</v>
      </c>
    </row>
    <row r="335" spans="1:9" s="102" customFormat="1" ht="12">
      <c r="A335" s="69" t="s">
        <v>385</v>
      </c>
      <c r="B335" s="111" t="s">
        <v>687</v>
      </c>
      <c r="C335" s="111" t="s">
        <v>490</v>
      </c>
      <c r="D335" s="111" t="s">
        <v>484</v>
      </c>
      <c r="E335" s="125"/>
      <c r="F335" s="112">
        <f>F336</f>
        <v>4085</v>
      </c>
      <c r="G335" s="112">
        <f t="shared" si="118"/>
        <v>3403.6184000000003</v>
      </c>
      <c r="H335" s="112">
        <f t="shared" si="118"/>
        <v>4085</v>
      </c>
      <c r="I335" s="112">
        <f t="shared" si="108"/>
        <v>100</v>
      </c>
    </row>
    <row r="336" spans="1:9" s="102" customFormat="1" ht="24">
      <c r="A336" s="143" t="s">
        <v>485</v>
      </c>
      <c r="B336" s="139" t="s">
        <v>687</v>
      </c>
      <c r="C336" s="139" t="s">
        <v>490</v>
      </c>
      <c r="D336" s="139" t="s">
        <v>484</v>
      </c>
      <c r="E336" s="139"/>
      <c r="F336" s="144">
        <f>F337+F339+F341</f>
        <v>4085</v>
      </c>
      <c r="G336" s="144">
        <f t="shared" ref="G336:H336" si="119">G337+G339+G341</f>
        <v>3403.6184000000003</v>
      </c>
      <c r="H336" s="144">
        <f t="shared" si="119"/>
        <v>4085</v>
      </c>
      <c r="I336" s="144">
        <f t="shared" si="108"/>
        <v>100</v>
      </c>
    </row>
    <row r="337" spans="1:9" s="102" customFormat="1" ht="36">
      <c r="A337" s="119" t="s">
        <v>79</v>
      </c>
      <c r="B337" s="120" t="s">
        <v>687</v>
      </c>
      <c r="C337" s="120" t="s">
        <v>490</v>
      </c>
      <c r="D337" s="120" t="s">
        <v>484</v>
      </c>
      <c r="E337" s="120" t="s">
        <v>80</v>
      </c>
      <c r="F337" s="121">
        <f>F338</f>
        <v>3962.35</v>
      </c>
      <c r="G337" s="121">
        <f t="shared" ref="G337:H337" si="120">G338</f>
        <v>3293.777</v>
      </c>
      <c r="H337" s="121">
        <f t="shared" si="120"/>
        <v>3962.35</v>
      </c>
      <c r="I337" s="121">
        <f t="shared" si="108"/>
        <v>100</v>
      </c>
    </row>
    <row r="338" spans="1:9" s="102" customFormat="1" ht="12">
      <c r="A338" s="119" t="s">
        <v>486</v>
      </c>
      <c r="B338" s="120" t="s">
        <v>687</v>
      </c>
      <c r="C338" s="120" t="s">
        <v>490</v>
      </c>
      <c r="D338" s="120" t="s">
        <v>484</v>
      </c>
      <c r="E338" s="120" t="s">
        <v>487</v>
      </c>
      <c r="F338" s="121">
        <f>2920+880+162.35</f>
        <v>3962.35</v>
      </c>
      <c r="G338" s="121">
        <v>3293.777</v>
      </c>
      <c r="H338" s="121">
        <f>2920+880+162.35</f>
        <v>3962.35</v>
      </c>
      <c r="I338" s="121">
        <f t="shared" si="108"/>
        <v>100</v>
      </c>
    </row>
    <row r="339" spans="1:9" s="102" customFormat="1" ht="12">
      <c r="A339" s="119" t="s">
        <v>301</v>
      </c>
      <c r="B339" s="120" t="s">
        <v>687</v>
      </c>
      <c r="C339" s="120" t="s">
        <v>490</v>
      </c>
      <c r="D339" s="120" t="s">
        <v>484</v>
      </c>
      <c r="E339" s="120" t="s">
        <v>84</v>
      </c>
      <c r="F339" s="121">
        <f>F340</f>
        <v>117.65</v>
      </c>
      <c r="G339" s="121">
        <f t="shared" ref="G339:H339" si="121">G340</f>
        <v>109.83320000000001</v>
      </c>
      <c r="H339" s="121">
        <f t="shared" si="121"/>
        <v>117.65</v>
      </c>
      <c r="I339" s="121">
        <f t="shared" si="108"/>
        <v>100</v>
      </c>
    </row>
    <row r="340" spans="1:9" s="102" customFormat="1" ht="24">
      <c r="A340" s="119" t="s">
        <v>85</v>
      </c>
      <c r="B340" s="120" t="s">
        <v>687</v>
      </c>
      <c r="C340" s="120" t="s">
        <v>490</v>
      </c>
      <c r="D340" s="120" t="s">
        <v>484</v>
      </c>
      <c r="E340" s="120" t="s">
        <v>86</v>
      </c>
      <c r="F340" s="121">
        <f>50+80+50-62.35</f>
        <v>117.65</v>
      </c>
      <c r="G340" s="121">
        <v>109.83320000000001</v>
      </c>
      <c r="H340" s="121">
        <f>50+80+50-62.35</f>
        <v>117.65</v>
      </c>
      <c r="I340" s="121">
        <f t="shared" si="108"/>
        <v>100</v>
      </c>
    </row>
    <row r="341" spans="1:9" s="102" customFormat="1" ht="12">
      <c r="A341" s="119" t="s">
        <v>87</v>
      </c>
      <c r="B341" s="120" t="s">
        <v>687</v>
      </c>
      <c r="C341" s="120" t="s">
        <v>490</v>
      </c>
      <c r="D341" s="120" t="s">
        <v>484</v>
      </c>
      <c r="E341" s="120" t="s">
        <v>88</v>
      </c>
      <c r="F341" s="172">
        <f>F342</f>
        <v>5</v>
      </c>
      <c r="G341" s="235">
        <f t="shared" ref="G341:H341" si="122">G342</f>
        <v>8.2000000000000007E-3</v>
      </c>
      <c r="H341" s="172">
        <f t="shared" si="122"/>
        <v>5</v>
      </c>
      <c r="I341" s="121">
        <f t="shared" si="108"/>
        <v>100</v>
      </c>
    </row>
    <row r="342" spans="1:9" s="102" customFormat="1" ht="12">
      <c r="A342" s="119" t="s">
        <v>155</v>
      </c>
      <c r="B342" s="120" t="s">
        <v>687</v>
      </c>
      <c r="C342" s="120" t="s">
        <v>490</v>
      </c>
      <c r="D342" s="120" t="s">
        <v>484</v>
      </c>
      <c r="E342" s="120" t="s">
        <v>89</v>
      </c>
      <c r="F342" s="172">
        <v>5</v>
      </c>
      <c r="G342" s="235">
        <v>8.2000000000000007E-3</v>
      </c>
      <c r="H342" s="172">
        <v>5</v>
      </c>
      <c r="I342" s="121">
        <f t="shared" si="108"/>
        <v>100</v>
      </c>
    </row>
    <row r="343" spans="1:9" s="102" customFormat="1" ht="36">
      <c r="A343" s="128" t="s">
        <v>288</v>
      </c>
      <c r="B343" s="125" t="s">
        <v>688</v>
      </c>
      <c r="C343" s="125"/>
      <c r="D343" s="125"/>
      <c r="E343" s="125"/>
      <c r="F343" s="126">
        <f>F344</f>
        <v>1535</v>
      </c>
      <c r="G343" s="126">
        <f t="shared" ref="G343:H343" si="123">G344</f>
        <v>408.20400000000001</v>
      </c>
      <c r="H343" s="126">
        <f t="shared" si="123"/>
        <v>1535</v>
      </c>
      <c r="I343" s="126">
        <f t="shared" si="108"/>
        <v>100</v>
      </c>
    </row>
    <row r="344" spans="1:9" s="102" customFormat="1" ht="12">
      <c r="A344" s="51" t="s">
        <v>381</v>
      </c>
      <c r="B344" s="111" t="s">
        <v>688</v>
      </c>
      <c r="C344" s="111" t="s">
        <v>490</v>
      </c>
      <c r="D344" s="111"/>
      <c r="E344" s="125"/>
      <c r="F344" s="112">
        <f>F345</f>
        <v>1535</v>
      </c>
      <c r="G344" s="112">
        <f t="shared" ref="G344:H345" si="124">G345</f>
        <v>408.20400000000001</v>
      </c>
      <c r="H344" s="112">
        <f t="shared" si="124"/>
        <v>1535</v>
      </c>
      <c r="I344" s="112">
        <f t="shared" si="108"/>
        <v>100</v>
      </c>
    </row>
    <row r="345" spans="1:9" s="102" customFormat="1" ht="12">
      <c r="A345" s="69" t="s">
        <v>385</v>
      </c>
      <c r="B345" s="111" t="s">
        <v>688</v>
      </c>
      <c r="C345" s="111" t="s">
        <v>490</v>
      </c>
      <c r="D345" s="111" t="s">
        <v>484</v>
      </c>
      <c r="E345" s="125"/>
      <c r="F345" s="112">
        <f>F346</f>
        <v>1535</v>
      </c>
      <c r="G345" s="112">
        <f t="shared" si="124"/>
        <v>408.20400000000001</v>
      </c>
      <c r="H345" s="112">
        <f t="shared" si="124"/>
        <v>1535</v>
      </c>
      <c r="I345" s="112">
        <f t="shared" si="108"/>
        <v>100</v>
      </c>
    </row>
    <row r="346" spans="1:9" s="102" customFormat="1" ht="12">
      <c r="A346" s="119" t="s">
        <v>301</v>
      </c>
      <c r="B346" s="120" t="s">
        <v>688</v>
      </c>
      <c r="C346" s="120" t="s">
        <v>490</v>
      </c>
      <c r="D346" s="120" t="s">
        <v>484</v>
      </c>
      <c r="E346" s="120" t="s">
        <v>84</v>
      </c>
      <c r="F346" s="121">
        <f>F347</f>
        <v>1535</v>
      </c>
      <c r="G346" s="121">
        <f t="shared" ref="G346:H346" si="125">G347</f>
        <v>408.20400000000001</v>
      </c>
      <c r="H346" s="121">
        <f t="shared" si="125"/>
        <v>1535</v>
      </c>
      <c r="I346" s="121">
        <f t="shared" si="108"/>
        <v>100</v>
      </c>
    </row>
    <row r="347" spans="1:9" s="102" customFormat="1" ht="24">
      <c r="A347" s="119" t="s">
        <v>85</v>
      </c>
      <c r="B347" s="120" t="s">
        <v>688</v>
      </c>
      <c r="C347" s="120" t="s">
        <v>490</v>
      </c>
      <c r="D347" s="120" t="s">
        <v>484</v>
      </c>
      <c r="E347" s="120" t="s">
        <v>86</v>
      </c>
      <c r="F347" s="121">
        <f>1310+175+50</f>
        <v>1535</v>
      </c>
      <c r="G347" s="121">
        <v>408.20400000000001</v>
      </c>
      <c r="H347" s="121">
        <f>1310+175+50</f>
        <v>1535</v>
      </c>
      <c r="I347" s="121">
        <f t="shared" si="108"/>
        <v>100</v>
      </c>
    </row>
    <row r="348" spans="1:9" s="102" customFormat="1" ht="48">
      <c r="A348" s="128" t="s">
        <v>458</v>
      </c>
      <c r="B348" s="125" t="s">
        <v>689</v>
      </c>
      <c r="C348" s="125"/>
      <c r="D348" s="125"/>
      <c r="E348" s="125"/>
      <c r="F348" s="126">
        <f>F349</f>
        <v>550</v>
      </c>
      <c r="G348" s="126">
        <f t="shared" ref="G348:H349" si="126">G349</f>
        <v>202.31</v>
      </c>
      <c r="H348" s="126">
        <f t="shared" si="126"/>
        <v>550</v>
      </c>
      <c r="I348" s="126">
        <f t="shared" si="108"/>
        <v>100</v>
      </c>
    </row>
    <row r="349" spans="1:9" s="102" customFormat="1" ht="12">
      <c r="A349" s="51" t="s">
        <v>381</v>
      </c>
      <c r="B349" s="111" t="s">
        <v>689</v>
      </c>
      <c r="C349" s="111" t="s">
        <v>490</v>
      </c>
      <c r="D349" s="111"/>
      <c r="E349" s="139"/>
      <c r="F349" s="112">
        <f>F350</f>
        <v>550</v>
      </c>
      <c r="G349" s="112">
        <f t="shared" si="126"/>
        <v>202.31</v>
      </c>
      <c r="H349" s="112">
        <f t="shared" si="126"/>
        <v>550</v>
      </c>
      <c r="I349" s="112">
        <f t="shared" si="108"/>
        <v>100</v>
      </c>
    </row>
    <row r="350" spans="1:9" s="102" customFormat="1" ht="12">
      <c r="A350" s="69" t="s">
        <v>385</v>
      </c>
      <c r="B350" s="111" t="s">
        <v>689</v>
      </c>
      <c r="C350" s="111" t="s">
        <v>490</v>
      </c>
      <c r="D350" s="111" t="s">
        <v>484</v>
      </c>
      <c r="E350" s="139"/>
      <c r="F350" s="112">
        <f>F351+F353</f>
        <v>550</v>
      </c>
      <c r="G350" s="112">
        <f t="shared" ref="G350:H350" si="127">G351+G353</f>
        <v>202.31</v>
      </c>
      <c r="H350" s="112">
        <f t="shared" si="127"/>
        <v>550</v>
      </c>
      <c r="I350" s="112">
        <f t="shared" si="108"/>
        <v>100</v>
      </c>
    </row>
    <row r="351" spans="1:9" s="102" customFormat="1" ht="12">
      <c r="A351" s="119" t="s">
        <v>301</v>
      </c>
      <c r="B351" s="120" t="s">
        <v>689</v>
      </c>
      <c r="C351" s="120" t="s">
        <v>490</v>
      </c>
      <c r="D351" s="120" t="s">
        <v>484</v>
      </c>
      <c r="E351" s="120" t="s">
        <v>84</v>
      </c>
      <c r="F351" s="121">
        <f>F352</f>
        <v>360</v>
      </c>
      <c r="G351" s="121">
        <f t="shared" ref="G351:H351" si="128">G352</f>
        <v>202.31</v>
      </c>
      <c r="H351" s="121">
        <f t="shared" si="128"/>
        <v>360</v>
      </c>
      <c r="I351" s="121">
        <f t="shared" si="108"/>
        <v>100</v>
      </c>
    </row>
    <row r="352" spans="1:9" s="102" customFormat="1" ht="24">
      <c r="A352" s="119" t="s">
        <v>85</v>
      </c>
      <c r="B352" s="120" t="s">
        <v>689</v>
      </c>
      <c r="C352" s="120" t="s">
        <v>490</v>
      </c>
      <c r="D352" s="120" t="s">
        <v>484</v>
      </c>
      <c r="E352" s="120" t="s">
        <v>86</v>
      </c>
      <c r="F352" s="121">
        <f>205+25+130</f>
        <v>360</v>
      </c>
      <c r="G352" s="121">
        <v>202.31</v>
      </c>
      <c r="H352" s="121">
        <f>205+25+130</f>
        <v>360</v>
      </c>
      <c r="I352" s="121">
        <f t="shared" si="108"/>
        <v>100</v>
      </c>
    </row>
    <row r="353" spans="1:9" s="102" customFormat="1" ht="12">
      <c r="A353" s="119" t="s">
        <v>95</v>
      </c>
      <c r="B353" s="120" t="s">
        <v>689</v>
      </c>
      <c r="C353" s="120" t="s">
        <v>490</v>
      </c>
      <c r="D353" s="120" t="s">
        <v>484</v>
      </c>
      <c r="E353" s="120" t="s">
        <v>94</v>
      </c>
      <c r="F353" s="121">
        <f>F354</f>
        <v>190</v>
      </c>
      <c r="G353" s="135">
        <f t="shared" ref="G353:H353" si="129">G354</f>
        <v>0</v>
      </c>
      <c r="H353" s="121">
        <f t="shared" si="129"/>
        <v>190</v>
      </c>
      <c r="I353" s="121">
        <f t="shared" si="108"/>
        <v>100</v>
      </c>
    </row>
    <row r="354" spans="1:9" s="102" customFormat="1" ht="24">
      <c r="A354" s="119" t="s">
        <v>679</v>
      </c>
      <c r="B354" s="120" t="s">
        <v>689</v>
      </c>
      <c r="C354" s="120" t="s">
        <v>490</v>
      </c>
      <c r="D354" s="120" t="s">
        <v>484</v>
      </c>
      <c r="E354" s="120" t="s">
        <v>680</v>
      </c>
      <c r="F354" s="121">
        <v>190</v>
      </c>
      <c r="G354" s="135">
        <v>0</v>
      </c>
      <c r="H354" s="121">
        <v>190</v>
      </c>
      <c r="I354" s="121">
        <f t="shared" si="108"/>
        <v>100</v>
      </c>
    </row>
    <row r="355" spans="1:9" s="102" customFormat="1" ht="12">
      <c r="A355" s="110" t="s">
        <v>289</v>
      </c>
      <c r="B355" s="111" t="s">
        <v>171</v>
      </c>
      <c r="C355" s="111"/>
      <c r="D355" s="111"/>
      <c r="E355" s="111"/>
      <c r="F355" s="112">
        <f>F356+F361+F367+F372</f>
        <v>50120.43</v>
      </c>
      <c r="G355" s="112">
        <f t="shared" ref="G355:H355" si="130">G356+G361+G367+G372</f>
        <v>18806.354209999998</v>
      </c>
      <c r="H355" s="112">
        <f t="shared" si="130"/>
        <v>47769.04</v>
      </c>
      <c r="I355" s="112">
        <f t="shared" si="108"/>
        <v>95.308519898971326</v>
      </c>
    </row>
    <row r="356" spans="1:9" s="102" customFormat="1" ht="24">
      <c r="A356" s="128" t="s">
        <v>178</v>
      </c>
      <c r="B356" s="125" t="s">
        <v>690</v>
      </c>
      <c r="C356" s="125"/>
      <c r="D356" s="125"/>
      <c r="E356" s="125"/>
      <c r="F356" s="126">
        <f>F357</f>
        <v>640</v>
      </c>
      <c r="G356" s="126">
        <f t="shared" ref="G356:H359" si="131">G357</f>
        <v>640</v>
      </c>
      <c r="H356" s="126">
        <f t="shared" si="131"/>
        <v>640</v>
      </c>
      <c r="I356" s="126">
        <f t="shared" si="108"/>
        <v>100</v>
      </c>
    </row>
    <row r="357" spans="1:9" s="102" customFormat="1" ht="12">
      <c r="A357" s="51" t="s">
        <v>406</v>
      </c>
      <c r="B357" s="21" t="s">
        <v>690</v>
      </c>
      <c r="C357" s="21" t="s">
        <v>515</v>
      </c>
      <c r="D357" s="21"/>
      <c r="E357" s="111"/>
      <c r="F357" s="112">
        <f>F358</f>
        <v>640</v>
      </c>
      <c r="G357" s="112">
        <f t="shared" si="131"/>
        <v>640</v>
      </c>
      <c r="H357" s="112">
        <f t="shared" si="131"/>
        <v>640</v>
      </c>
      <c r="I357" s="112">
        <f t="shared" si="108"/>
        <v>100</v>
      </c>
    </row>
    <row r="358" spans="1:9" s="102" customFormat="1" ht="12">
      <c r="A358" s="69" t="s">
        <v>394</v>
      </c>
      <c r="B358" s="21" t="s">
        <v>690</v>
      </c>
      <c r="C358" s="21" t="s">
        <v>515</v>
      </c>
      <c r="D358" s="21" t="s">
        <v>483</v>
      </c>
      <c r="E358" s="111"/>
      <c r="F358" s="112">
        <f>F359</f>
        <v>640</v>
      </c>
      <c r="G358" s="112">
        <f t="shared" si="131"/>
        <v>640</v>
      </c>
      <c r="H358" s="112">
        <f t="shared" si="131"/>
        <v>640</v>
      </c>
      <c r="I358" s="112">
        <f t="shared" si="108"/>
        <v>100</v>
      </c>
    </row>
    <row r="359" spans="1:9" s="102" customFormat="1" ht="12">
      <c r="A359" s="119" t="s">
        <v>95</v>
      </c>
      <c r="B359" s="120" t="s">
        <v>690</v>
      </c>
      <c r="C359" s="120" t="s">
        <v>515</v>
      </c>
      <c r="D359" s="120" t="s">
        <v>483</v>
      </c>
      <c r="E359" s="120" t="s">
        <v>94</v>
      </c>
      <c r="F359" s="121">
        <f>F360</f>
        <v>640</v>
      </c>
      <c r="G359" s="121">
        <f t="shared" si="131"/>
        <v>640</v>
      </c>
      <c r="H359" s="121">
        <f t="shared" si="131"/>
        <v>640</v>
      </c>
      <c r="I359" s="121">
        <f t="shared" si="108"/>
        <v>100</v>
      </c>
    </row>
    <row r="360" spans="1:9" s="102" customFormat="1" ht="24">
      <c r="A360" s="119" t="s">
        <v>96</v>
      </c>
      <c r="B360" s="120" t="s">
        <v>690</v>
      </c>
      <c r="C360" s="120" t="s">
        <v>515</v>
      </c>
      <c r="D360" s="120" t="s">
        <v>483</v>
      </c>
      <c r="E360" s="120" t="s">
        <v>97</v>
      </c>
      <c r="F360" s="121">
        <v>640</v>
      </c>
      <c r="G360" s="121">
        <v>640</v>
      </c>
      <c r="H360" s="121">
        <v>640</v>
      </c>
      <c r="I360" s="121">
        <f t="shared" si="108"/>
        <v>100</v>
      </c>
    </row>
    <row r="361" spans="1:9" s="102" customFormat="1" ht="24">
      <c r="A361" s="128" t="s">
        <v>179</v>
      </c>
      <c r="B361" s="125" t="s">
        <v>493</v>
      </c>
      <c r="C361" s="125"/>
      <c r="D361" s="125"/>
      <c r="E361" s="125"/>
      <c r="F361" s="126">
        <f>F362</f>
        <v>26953.200000000001</v>
      </c>
      <c r="G361" s="126">
        <f t="shared" ref="G361:H363" si="132">G362</f>
        <v>8512.41</v>
      </c>
      <c r="H361" s="126">
        <f t="shared" si="132"/>
        <v>26953.200000000001</v>
      </c>
      <c r="I361" s="126">
        <f t="shared" si="108"/>
        <v>100</v>
      </c>
    </row>
    <row r="362" spans="1:9" s="102" customFormat="1" ht="12">
      <c r="A362" s="51" t="s">
        <v>406</v>
      </c>
      <c r="B362" s="21" t="s">
        <v>686</v>
      </c>
      <c r="C362" s="21" t="s">
        <v>515</v>
      </c>
      <c r="D362" s="21"/>
      <c r="E362" s="125"/>
      <c r="F362" s="112">
        <f>F363</f>
        <v>26953.200000000001</v>
      </c>
      <c r="G362" s="112">
        <f t="shared" si="132"/>
        <v>8512.41</v>
      </c>
      <c r="H362" s="112">
        <f t="shared" si="132"/>
        <v>26953.200000000001</v>
      </c>
      <c r="I362" s="112">
        <f t="shared" si="108"/>
        <v>100</v>
      </c>
    </row>
    <row r="363" spans="1:9" s="102" customFormat="1" ht="12">
      <c r="A363" s="69" t="s">
        <v>394</v>
      </c>
      <c r="B363" s="21" t="s">
        <v>686</v>
      </c>
      <c r="C363" s="21" t="s">
        <v>515</v>
      </c>
      <c r="D363" s="21" t="s">
        <v>483</v>
      </c>
      <c r="E363" s="125"/>
      <c r="F363" s="112">
        <f>F364</f>
        <v>26953.200000000001</v>
      </c>
      <c r="G363" s="112">
        <f t="shared" si="132"/>
        <v>8512.41</v>
      </c>
      <c r="H363" s="112">
        <f t="shared" si="132"/>
        <v>26953.200000000001</v>
      </c>
      <c r="I363" s="112">
        <f t="shared" si="108"/>
        <v>100</v>
      </c>
    </row>
    <row r="364" spans="1:9" s="102" customFormat="1" ht="24">
      <c r="A364" s="119" t="s">
        <v>104</v>
      </c>
      <c r="B364" s="120" t="s">
        <v>686</v>
      </c>
      <c r="C364" s="120" t="s">
        <v>490</v>
      </c>
      <c r="D364" s="120" t="s">
        <v>491</v>
      </c>
      <c r="E364" s="120" t="s">
        <v>408</v>
      </c>
      <c r="F364" s="121">
        <f>F365+F366</f>
        <v>26953.200000000001</v>
      </c>
      <c r="G364" s="121">
        <f t="shared" ref="G364:H364" si="133">G365+G366</f>
        <v>8512.41</v>
      </c>
      <c r="H364" s="121">
        <f t="shared" si="133"/>
        <v>26953.200000000001</v>
      </c>
      <c r="I364" s="121">
        <f t="shared" si="108"/>
        <v>100</v>
      </c>
    </row>
    <row r="365" spans="1:9" s="102" customFormat="1" ht="12">
      <c r="A365" s="119" t="s">
        <v>105</v>
      </c>
      <c r="B365" s="120" t="s">
        <v>686</v>
      </c>
      <c r="C365" s="120" t="s">
        <v>490</v>
      </c>
      <c r="D365" s="120" t="s">
        <v>491</v>
      </c>
      <c r="E365" s="120" t="s">
        <v>425</v>
      </c>
      <c r="F365" s="121">
        <v>26058.400000000001</v>
      </c>
      <c r="G365" s="121">
        <v>8186.4350000000004</v>
      </c>
      <c r="H365" s="121">
        <v>26058.400000000001</v>
      </c>
      <c r="I365" s="121">
        <f t="shared" si="108"/>
        <v>100</v>
      </c>
    </row>
    <row r="366" spans="1:9" s="102" customFormat="1" ht="12">
      <c r="A366" s="119" t="s">
        <v>516</v>
      </c>
      <c r="B366" s="120" t="s">
        <v>686</v>
      </c>
      <c r="C366" s="120" t="s">
        <v>490</v>
      </c>
      <c r="D366" s="120" t="s">
        <v>491</v>
      </c>
      <c r="E366" s="120" t="s">
        <v>517</v>
      </c>
      <c r="F366" s="121">
        <v>894.8</v>
      </c>
      <c r="G366" s="121">
        <v>325.97500000000002</v>
      </c>
      <c r="H366" s="121">
        <v>894.8</v>
      </c>
      <c r="I366" s="121">
        <f t="shared" si="108"/>
        <v>100</v>
      </c>
    </row>
    <row r="367" spans="1:9" s="102" customFormat="1" ht="48">
      <c r="A367" s="124" t="s">
        <v>143</v>
      </c>
      <c r="B367" s="125" t="s">
        <v>291</v>
      </c>
      <c r="C367" s="125"/>
      <c r="D367" s="125"/>
      <c r="E367" s="125"/>
      <c r="F367" s="126">
        <f>F368</f>
        <v>3527.2299999999987</v>
      </c>
      <c r="G367" s="136">
        <f t="shared" ref="G367:H370" si="134">G368</f>
        <v>0</v>
      </c>
      <c r="H367" s="126">
        <f t="shared" si="134"/>
        <v>3527.2299999999987</v>
      </c>
      <c r="I367" s="126">
        <f t="shared" ref="I367:I391" si="135">H367/F367*100</f>
        <v>100</v>
      </c>
    </row>
    <row r="368" spans="1:9" s="102" customFormat="1" ht="12">
      <c r="A368" s="51" t="s">
        <v>406</v>
      </c>
      <c r="B368" s="111" t="s">
        <v>291</v>
      </c>
      <c r="C368" s="21" t="s">
        <v>515</v>
      </c>
      <c r="D368" s="21"/>
      <c r="E368" s="111"/>
      <c r="F368" s="112">
        <f>F369</f>
        <v>3527.2299999999987</v>
      </c>
      <c r="G368" s="134">
        <f t="shared" si="134"/>
        <v>0</v>
      </c>
      <c r="H368" s="112">
        <f t="shared" si="134"/>
        <v>3527.2299999999987</v>
      </c>
      <c r="I368" s="112">
        <f t="shared" si="135"/>
        <v>100</v>
      </c>
    </row>
    <row r="369" spans="1:9" s="102" customFormat="1" ht="12">
      <c r="A369" s="69" t="s">
        <v>394</v>
      </c>
      <c r="B369" s="111" t="s">
        <v>291</v>
      </c>
      <c r="C369" s="21" t="s">
        <v>515</v>
      </c>
      <c r="D369" s="21" t="s">
        <v>483</v>
      </c>
      <c r="E369" s="111"/>
      <c r="F369" s="112">
        <f>F370</f>
        <v>3527.2299999999987</v>
      </c>
      <c r="G369" s="134">
        <f t="shared" si="134"/>
        <v>0</v>
      </c>
      <c r="H369" s="112">
        <f t="shared" si="134"/>
        <v>3527.2299999999987</v>
      </c>
      <c r="I369" s="112">
        <f t="shared" si="135"/>
        <v>100</v>
      </c>
    </row>
    <row r="370" spans="1:9" s="102" customFormat="1" ht="24">
      <c r="A370" s="119" t="s">
        <v>104</v>
      </c>
      <c r="B370" s="120" t="s">
        <v>291</v>
      </c>
      <c r="C370" s="120" t="s">
        <v>515</v>
      </c>
      <c r="D370" s="120" t="s">
        <v>483</v>
      </c>
      <c r="E370" s="120" t="s">
        <v>408</v>
      </c>
      <c r="F370" s="121">
        <f>F371</f>
        <v>3527.2299999999987</v>
      </c>
      <c r="G370" s="135">
        <f t="shared" si="134"/>
        <v>0</v>
      </c>
      <c r="H370" s="121">
        <f t="shared" si="134"/>
        <v>3527.2299999999987</v>
      </c>
      <c r="I370" s="121">
        <f t="shared" si="135"/>
        <v>100</v>
      </c>
    </row>
    <row r="371" spans="1:9" s="102" customFormat="1" ht="12">
      <c r="A371" s="119" t="s">
        <v>105</v>
      </c>
      <c r="B371" s="120" t="s">
        <v>291</v>
      </c>
      <c r="C371" s="120" t="s">
        <v>515</v>
      </c>
      <c r="D371" s="120" t="s">
        <v>483</v>
      </c>
      <c r="E371" s="120" t="s">
        <v>425</v>
      </c>
      <c r="F371" s="121">
        <f>9203.8-0.02-6060.85+252+132.3</f>
        <v>3527.2299999999987</v>
      </c>
      <c r="G371" s="135">
        <v>0</v>
      </c>
      <c r="H371" s="121">
        <f>9203.8-0.02-6060.85+252+132.3</f>
        <v>3527.2299999999987</v>
      </c>
      <c r="I371" s="121">
        <f t="shared" si="135"/>
        <v>100</v>
      </c>
    </row>
    <row r="372" spans="1:9" s="102" customFormat="1" ht="60">
      <c r="A372" s="140" t="s">
        <v>512</v>
      </c>
      <c r="B372" s="125" t="s">
        <v>290</v>
      </c>
      <c r="C372" s="125"/>
      <c r="D372" s="125"/>
      <c r="E372" s="125"/>
      <c r="F372" s="126">
        <f>F373</f>
        <v>19000</v>
      </c>
      <c r="G372" s="126">
        <f t="shared" ref="G372:H375" si="136">G373</f>
        <v>9653.9442099999997</v>
      </c>
      <c r="H372" s="126">
        <f t="shared" si="136"/>
        <v>16648.61</v>
      </c>
      <c r="I372" s="126">
        <f t="shared" si="135"/>
        <v>87.624263157894745</v>
      </c>
    </row>
    <row r="373" spans="1:9" s="102" customFormat="1" ht="12">
      <c r="A373" s="51" t="s">
        <v>406</v>
      </c>
      <c r="B373" s="111" t="s">
        <v>290</v>
      </c>
      <c r="C373" s="21" t="s">
        <v>515</v>
      </c>
      <c r="D373" s="21"/>
      <c r="E373" s="125"/>
      <c r="F373" s="112">
        <f>F374</f>
        <v>19000</v>
      </c>
      <c r="G373" s="112">
        <f t="shared" si="136"/>
        <v>9653.9442099999997</v>
      </c>
      <c r="H373" s="112">
        <f t="shared" si="136"/>
        <v>16648.61</v>
      </c>
      <c r="I373" s="112">
        <f t="shared" si="135"/>
        <v>87.624263157894745</v>
      </c>
    </row>
    <row r="374" spans="1:9" s="102" customFormat="1" ht="12">
      <c r="A374" s="69" t="s">
        <v>395</v>
      </c>
      <c r="B374" s="111" t="s">
        <v>290</v>
      </c>
      <c r="C374" s="21" t="s">
        <v>515</v>
      </c>
      <c r="D374" s="21" t="s">
        <v>78</v>
      </c>
      <c r="E374" s="125"/>
      <c r="F374" s="112">
        <f>F375</f>
        <v>19000</v>
      </c>
      <c r="G374" s="112">
        <f t="shared" si="136"/>
        <v>9653.9442099999997</v>
      </c>
      <c r="H374" s="112">
        <f t="shared" si="136"/>
        <v>16648.61</v>
      </c>
      <c r="I374" s="112">
        <f t="shared" si="135"/>
        <v>87.624263157894745</v>
      </c>
    </row>
    <row r="375" spans="1:9" s="102" customFormat="1" ht="12">
      <c r="A375" s="119" t="s">
        <v>95</v>
      </c>
      <c r="B375" s="120" t="s">
        <v>290</v>
      </c>
      <c r="C375" s="120" t="s">
        <v>515</v>
      </c>
      <c r="D375" s="120" t="s">
        <v>78</v>
      </c>
      <c r="E375" s="120" t="s">
        <v>94</v>
      </c>
      <c r="F375" s="121">
        <f>F376</f>
        <v>19000</v>
      </c>
      <c r="G375" s="121">
        <f t="shared" si="136"/>
        <v>9653.9442099999997</v>
      </c>
      <c r="H375" s="121">
        <f t="shared" si="136"/>
        <v>16648.61</v>
      </c>
      <c r="I375" s="121">
        <f t="shared" si="135"/>
        <v>87.624263157894745</v>
      </c>
    </row>
    <row r="376" spans="1:9" s="102" customFormat="1" ht="12">
      <c r="A376" s="119" t="s">
        <v>157</v>
      </c>
      <c r="B376" s="120" t="s">
        <v>290</v>
      </c>
      <c r="C376" s="120" t="s">
        <v>515</v>
      </c>
      <c r="D376" s="120" t="s">
        <v>78</v>
      </c>
      <c r="E376" s="120" t="s">
        <v>518</v>
      </c>
      <c r="F376" s="121">
        <v>19000</v>
      </c>
      <c r="G376" s="121">
        <v>9653.9442099999997</v>
      </c>
      <c r="H376" s="121">
        <v>16648.61</v>
      </c>
      <c r="I376" s="121">
        <f t="shared" si="135"/>
        <v>87.624263157894745</v>
      </c>
    </row>
    <row r="377" spans="1:9" s="102" customFormat="1" ht="36">
      <c r="A377" s="141" t="s">
        <v>697</v>
      </c>
      <c r="B377" s="111" t="s">
        <v>172</v>
      </c>
      <c r="C377" s="111"/>
      <c r="D377" s="111"/>
      <c r="E377" s="111"/>
      <c r="F377" s="112">
        <f>F378</f>
        <v>10022</v>
      </c>
      <c r="G377" s="112">
        <f t="shared" ref="G377:H378" si="137">G378</f>
        <v>8046.9206899999999</v>
      </c>
      <c r="H377" s="112">
        <f t="shared" si="137"/>
        <v>10022</v>
      </c>
      <c r="I377" s="112">
        <f t="shared" si="135"/>
        <v>100</v>
      </c>
    </row>
    <row r="378" spans="1:9" s="102" customFormat="1" ht="25.5">
      <c r="A378" s="173" t="s">
        <v>177</v>
      </c>
      <c r="B378" s="111" t="s">
        <v>172</v>
      </c>
      <c r="C378" s="111"/>
      <c r="D378" s="111"/>
      <c r="E378" s="111"/>
      <c r="F378" s="112">
        <f>F379</f>
        <v>10022</v>
      </c>
      <c r="G378" s="112">
        <f t="shared" si="137"/>
        <v>8046.9206899999999</v>
      </c>
      <c r="H378" s="112">
        <f t="shared" si="137"/>
        <v>10022</v>
      </c>
      <c r="I378" s="112">
        <f t="shared" si="135"/>
        <v>100</v>
      </c>
    </row>
    <row r="379" spans="1:9" s="102" customFormat="1" ht="36">
      <c r="A379" s="124" t="s">
        <v>410</v>
      </c>
      <c r="B379" s="125" t="s">
        <v>172</v>
      </c>
      <c r="C379" s="125"/>
      <c r="D379" s="125"/>
      <c r="E379" s="125"/>
      <c r="F379" s="126">
        <f>F380+F385</f>
        <v>10022</v>
      </c>
      <c r="G379" s="126">
        <f t="shared" ref="G379:H379" si="138">G380+G385</f>
        <v>8046.9206899999999</v>
      </c>
      <c r="H379" s="126">
        <f t="shared" si="138"/>
        <v>10022</v>
      </c>
      <c r="I379" s="126">
        <f t="shared" si="135"/>
        <v>100</v>
      </c>
    </row>
    <row r="380" spans="1:9" s="102" customFormat="1" ht="12">
      <c r="A380" s="51" t="s">
        <v>381</v>
      </c>
      <c r="B380" s="111" t="s">
        <v>292</v>
      </c>
      <c r="C380" s="21" t="s">
        <v>490</v>
      </c>
      <c r="D380" s="21"/>
      <c r="E380" s="125"/>
      <c r="F380" s="112">
        <f>F381</f>
        <v>9500</v>
      </c>
      <c r="G380" s="112">
        <f t="shared" ref="G380:H383" si="139">G381</f>
        <v>7687.69553</v>
      </c>
      <c r="H380" s="112">
        <f t="shared" si="139"/>
        <v>9500</v>
      </c>
      <c r="I380" s="112">
        <f t="shared" si="135"/>
        <v>100</v>
      </c>
    </row>
    <row r="381" spans="1:9" s="102" customFormat="1" ht="12">
      <c r="A381" s="69" t="s">
        <v>385</v>
      </c>
      <c r="B381" s="111" t="s">
        <v>292</v>
      </c>
      <c r="C381" s="21" t="s">
        <v>490</v>
      </c>
      <c r="D381" s="21" t="s">
        <v>484</v>
      </c>
      <c r="E381" s="125"/>
      <c r="F381" s="112">
        <f>F382</f>
        <v>9500</v>
      </c>
      <c r="G381" s="112">
        <f t="shared" si="139"/>
        <v>7687.69553</v>
      </c>
      <c r="H381" s="112">
        <f t="shared" si="139"/>
        <v>9500</v>
      </c>
      <c r="I381" s="112">
        <f t="shared" si="135"/>
        <v>100</v>
      </c>
    </row>
    <row r="382" spans="1:9" s="102" customFormat="1" ht="24">
      <c r="A382" s="127" t="s">
        <v>392</v>
      </c>
      <c r="B382" s="111" t="s">
        <v>292</v>
      </c>
      <c r="C382" s="21" t="s">
        <v>490</v>
      </c>
      <c r="D382" s="21" t="s">
        <v>484</v>
      </c>
      <c r="E382" s="111"/>
      <c r="F382" s="112">
        <f>F383</f>
        <v>9500</v>
      </c>
      <c r="G382" s="112">
        <f t="shared" si="139"/>
        <v>7687.69553</v>
      </c>
      <c r="H382" s="112">
        <f t="shared" si="139"/>
        <v>9500</v>
      </c>
      <c r="I382" s="112">
        <f t="shared" si="135"/>
        <v>100</v>
      </c>
    </row>
    <row r="383" spans="1:9" s="102" customFormat="1" ht="36">
      <c r="A383" s="119" t="s">
        <v>79</v>
      </c>
      <c r="B383" s="120" t="s">
        <v>292</v>
      </c>
      <c r="C383" s="120" t="s">
        <v>490</v>
      </c>
      <c r="D383" s="120" t="s">
        <v>484</v>
      </c>
      <c r="E383" s="120" t="s">
        <v>80</v>
      </c>
      <c r="F383" s="121">
        <f>F384</f>
        <v>9500</v>
      </c>
      <c r="G383" s="121">
        <f t="shared" si="139"/>
        <v>7687.69553</v>
      </c>
      <c r="H383" s="121">
        <f t="shared" si="139"/>
        <v>9500</v>
      </c>
      <c r="I383" s="121">
        <f t="shared" si="135"/>
        <v>100</v>
      </c>
    </row>
    <row r="384" spans="1:9" s="102" customFormat="1" ht="12">
      <c r="A384" s="119" t="s">
        <v>81</v>
      </c>
      <c r="B384" s="120" t="s">
        <v>292</v>
      </c>
      <c r="C384" s="120" t="s">
        <v>490</v>
      </c>
      <c r="D384" s="120" t="s">
        <v>484</v>
      </c>
      <c r="E384" s="120" t="s">
        <v>82</v>
      </c>
      <c r="F384" s="121">
        <f>7300+2200</f>
        <v>9500</v>
      </c>
      <c r="G384" s="121">
        <v>7687.69553</v>
      </c>
      <c r="H384" s="121">
        <f>7300+2200</f>
        <v>9500</v>
      </c>
      <c r="I384" s="121">
        <f t="shared" si="135"/>
        <v>100</v>
      </c>
    </row>
    <row r="385" spans="1:9" s="102" customFormat="1" ht="12">
      <c r="A385" s="110" t="s">
        <v>83</v>
      </c>
      <c r="B385" s="111" t="s">
        <v>293</v>
      </c>
      <c r="C385" s="111"/>
      <c r="D385" s="111"/>
      <c r="E385" s="111"/>
      <c r="F385" s="112">
        <f>F386</f>
        <v>522</v>
      </c>
      <c r="G385" s="112">
        <f t="shared" ref="G385:H386" si="140">G386</f>
        <v>359.22516000000002</v>
      </c>
      <c r="H385" s="112">
        <f t="shared" si="140"/>
        <v>522</v>
      </c>
      <c r="I385" s="112">
        <f t="shared" si="135"/>
        <v>100</v>
      </c>
    </row>
    <row r="386" spans="1:9" s="102" customFormat="1" ht="12">
      <c r="A386" s="51" t="s">
        <v>381</v>
      </c>
      <c r="B386" s="111" t="s">
        <v>293</v>
      </c>
      <c r="C386" s="21" t="s">
        <v>490</v>
      </c>
      <c r="D386" s="21"/>
      <c r="E386" s="111"/>
      <c r="F386" s="112">
        <f>F387</f>
        <v>522</v>
      </c>
      <c r="G386" s="112">
        <f t="shared" si="140"/>
        <v>359.22516000000002</v>
      </c>
      <c r="H386" s="112">
        <f t="shared" si="140"/>
        <v>522</v>
      </c>
      <c r="I386" s="112">
        <f t="shared" si="135"/>
        <v>100</v>
      </c>
    </row>
    <row r="387" spans="1:9" s="102" customFormat="1" ht="12">
      <c r="A387" s="69" t="s">
        <v>385</v>
      </c>
      <c r="B387" s="111" t="s">
        <v>293</v>
      </c>
      <c r="C387" s="21" t="s">
        <v>490</v>
      </c>
      <c r="D387" s="21" t="s">
        <v>484</v>
      </c>
      <c r="E387" s="111"/>
      <c r="F387" s="112">
        <f>F388+F390</f>
        <v>522</v>
      </c>
      <c r="G387" s="112">
        <f t="shared" ref="G387:H387" si="141">G388+G390</f>
        <v>359.22516000000002</v>
      </c>
      <c r="H387" s="112">
        <f t="shared" si="141"/>
        <v>522</v>
      </c>
      <c r="I387" s="112">
        <f t="shared" si="135"/>
        <v>100</v>
      </c>
    </row>
    <row r="388" spans="1:9" s="102" customFormat="1" ht="12">
      <c r="A388" s="119" t="s">
        <v>301</v>
      </c>
      <c r="B388" s="120" t="s">
        <v>293</v>
      </c>
      <c r="C388" s="120" t="s">
        <v>490</v>
      </c>
      <c r="D388" s="120" t="s">
        <v>484</v>
      </c>
      <c r="E388" s="120" t="s">
        <v>84</v>
      </c>
      <c r="F388" s="121">
        <f>F389</f>
        <v>507</v>
      </c>
      <c r="G388" s="121">
        <f t="shared" ref="G388:H388" si="142">G389</f>
        <v>359.22516000000002</v>
      </c>
      <c r="H388" s="121">
        <f t="shared" si="142"/>
        <v>507</v>
      </c>
      <c r="I388" s="121">
        <f t="shared" si="135"/>
        <v>100</v>
      </c>
    </row>
    <row r="389" spans="1:9" s="102" customFormat="1" ht="24">
      <c r="A389" s="119" t="s">
        <v>85</v>
      </c>
      <c r="B389" s="120" t="s">
        <v>293</v>
      </c>
      <c r="C389" s="120" t="s">
        <v>490</v>
      </c>
      <c r="D389" s="120" t="s">
        <v>484</v>
      </c>
      <c r="E389" s="120" t="s">
        <v>86</v>
      </c>
      <c r="F389" s="121">
        <f>252+15+80+160</f>
        <v>507</v>
      </c>
      <c r="G389" s="121">
        <v>359.22516000000002</v>
      </c>
      <c r="H389" s="121">
        <f>252+15+80+160</f>
        <v>507</v>
      </c>
      <c r="I389" s="121">
        <f t="shared" si="135"/>
        <v>100</v>
      </c>
    </row>
    <row r="390" spans="1:9" s="102" customFormat="1" ht="12">
      <c r="A390" s="119" t="s">
        <v>87</v>
      </c>
      <c r="B390" s="120" t="s">
        <v>293</v>
      </c>
      <c r="C390" s="120" t="s">
        <v>490</v>
      </c>
      <c r="D390" s="120" t="s">
        <v>484</v>
      </c>
      <c r="E390" s="120" t="s">
        <v>88</v>
      </c>
      <c r="F390" s="121">
        <f>F391</f>
        <v>15</v>
      </c>
      <c r="G390" s="135">
        <f t="shared" ref="G390:H390" si="143">G391</f>
        <v>0</v>
      </c>
      <c r="H390" s="121">
        <f t="shared" si="143"/>
        <v>15</v>
      </c>
      <c r="I390" s="121">
        <f t="shared" si="135"/>
        <v>100</v>
      </c>
    </row>
    <row r="391" spans="1:9" s="102" customFormat="1" ht="12">
      <c r="A391" s="119" t="s">
        <v>514</v>
      </c>
      <c r="B391" s="120" t="s">
        <v>293</v>
      </c>
      <c r="C391" s="120" t="s">
        <v>490</v>
      </c>
      <c r="D391" s="120" t="s">
        <v>484</v>
      </c>
      <c r="E391" s="120" t="s">
        <v>89</v>
      </c>
      <c r="F391" s="121">
        <v>15</v>
      </c>
      <c r="G391" s="135">
        <v>0</v>
      </c>
      <c r="H391" s="121">
        <v>15</v>
      </c>
      <c r="I391" s="121">
        <f t="shared" si="135"/>
        <v>100</v>
      </c>
    </row>
    <row r="392" spans="1:9" s="252" customFormat="1" ht="27">
      <c r="A392" s="131" t="s">
        <v>601</v>
      </c>
      <c r="B392" s="132" t="s">
        <v>256</v>
      </c>
      <c r="C392" s="251"/>
      <c r="D392" s="251"/>
      <c r="E392" s="251"/>
      <c r="F392" s="192">
        <f>F393+F414+F425+F458</f>
        <v>212930.69246999998</v>
      </c>
      <c r="G392" s="192">
        <f>G393+G414+G425+G458</f>
        <v>135055.71950000001</v>
      </c>
      <c r="H392" s="192">
        <f>H393+H414+H425+H458</f>
        <v>198930.69246999998</v>
      </c>
      <c r="I392" s="192">
        <f>H392/F392*100</f>
        <v>93.425090653865013</v>
      </c>
    </row>
    <row r="393" spans="1:9" s="102" customFormat="1" ht="13.5">
      <c r="A393" s="123" t="s">
        <v>75</v>
      </c>
      <c r="B393" s="114" t="s">
        <v>271</v>
      </c>
      <c r="C393" s="114"/>
      <c r="D393" s="114"/>
      <c r="E393" s="114"/>
      <c r="F393" s="115">
        <f>F394+F399+F404+F409</f>
        <v>18130.010000000002</v>
      </c>
      <c r="G393" s="115">
        <f t="shared" ref="G393:H393" si="144">G394+G399+G404+G409</f>
        <v>4514.3194199999998</v>
      </c>
      <c r="H393" s="115">
        <f t="shared" si="144"/>
        <v>13130.010000000002</v>
      </c>
      <c r="I393" s="115">
        <f t="shared" ref="I393:I456" si="145">H393/F393*100</f>
        <v>72.421416204403641</v>
      </c>
    </row>
    <row r="394" spans="1:9" s="102" customFormat="1" ht="12">
      <c r="A394" s="141" t="s">
        <v>109</v>
      </c>
      <c r="B394" s="111" t="s">
        <v>602</v>
      </c>
      <c r="C394" s="111"/>
      <c r="D394" s="111"/>
      <c r="E394" s="125"/>
      <c r="F394" s="112">
        <f>F395</f>
        <v>17704.010000000002</v>
      </c>
      <c r="G394" s="112">
        <f t="shared" ref="G394:H394" si="146">G395</f>
        <v>4388.3194199999998</v>
      </c>
      <c r="H394" s="112">
        <f t="shared" si="146"/>
        <v>12704.010000000002</v>
      </c>
      <c r="I394" s="112">
        <f t="shared" si="145"/>
        <v>71.757810801055811</v>
      </c>
    </row>
    <row r="395" spans="1:9" s="102" customFormat="1" ht="12">
      <c r="A395" s="51" t="s">
        <v>396</v>
      </c>
      <c r="B395" s="111" t="s">
        <v>602</v>
      </c>
      <c r="C395" s="21" t="s">
        <v>488</v>
      </c>
      <c r="D395" s="21"/>
      <c r="E395" s="21"/>
      <c r="F395" s="38">
        <f t="shared" ref="F395:H397" si="147">F396</f>
        <v>17704.010000000002</v>
      </c>
      <c r="G395" s="38">
        <f t="shared" si="147"/>
        <v>4388.3194199999998</v>
      </c>
      <c r="H395" s="38">
        <f t="shared" si="147"/>
        <v>12704.010000000002</v>
      </c>
      <c r="I395" s="112">
        <f t="shared" si="145"/>
        <v>71.757810801055811</v>
      </c>
    </row>
    <row r="396" spans="1:9" s="102" customFormat="1" ht="12">
      <c r="A396" s="51" t="s">
        <v>468</v>
      </c>
      <c r="B396" s="111" t="s">
        <v>602</v>
      </c>
      <c r="C396" s="21" t="s">
        <v>488</v>
      </c>
      <c r="D396" s="21" t="s">
        <v>78</v>
      </c>
      <c r="E396" s="21"/>
      <c r="F396" s="38">
        <f t="shared" si="147"/>
        <v>17704.010000000002</v>
      </c>
      <c r="G396" s="38">
        <f t="shared" si="147"/>
        <v>4388.3194199999998</v>
      </c>
      <c r="H396" s="38">
        <f t="shared" si="147"/>
        <v>12704.010000000002</v>
      </c>
      <c r="I396" s="112">
        <f t="shared" si="145"/>
        <v>71.757810801055811</v>
      </c>
    </row>
    <row r="397" spans="1:9" s="102" customFormat="1" ht="24">
      <c r="A397" s="119" t="s">
        <v>596</v>
      </c>
      <c r="B397" s="120" t="s">
        <v>602</v>
      </c>
      <c r="C397" s="120" t="s">
        <v>488</v>
      </c>
      <c r="D397" s="120" t="s">
        <v>78</v>
      </c>
      <c r="E397" s="120" t="s">
        <v>84</v>
      </c>
      <c r="F397" s="121">
        <f>F398</f>
        <v>17704.010000000002</v>
      </c>
      <c r="G397" s="121">
        <f t="shared" si="147"/>
        <v>4388.3194199999998</v>
      </c>
      <c r="H397" s="121">
        <f t="shared" si="147"/>
        <v>12704.010000000002</v>
      </c>
      <c r="I397" s="121">
        <f t="shared" si="145"/>
        <v>71.757810801055811</v>
      </c>
    </row>
    <row r="398" spans="1:9" s="102" customFormat="1" ht="24">
      <c r="A398" s="119" t="s">
        <v>85</v>
      </c>
      <c r="B398" s="120" t="s">
        <v>602</v>
      </c>
      <c r="C398" s="120" t="s">
        <v>488</v>
      </c>
      <c r="D398" s="120" t="s">
        <v>78</v>
      </c>
      <c r="E398" s="120" t="s">
        <v>86</v>
      </c>
      <c r="F398" s="121">
        <f>20100-2395.99</f>
        <v>17704.010000000002</v>
      </c>
      <c r="G398" s="121">
        <v>4388.3194199999998</v>
      </c>
      <c r="H398" s="121">
        <f>20100-2395.99-5000</f>
        <v>12704.010000000002</v>
      </c>
      <c r="I398" s="121">
        <f t="shared" si="145"/>
        <v>71.757810801055811</v>
      </c>
    </row>
    <row r="399" spans="1:9" s="102" customFormat="1" ht="12">
      <c r="A399" s="161" t="s">
        <v>355</v>
      </c>
      <c r="B399" s="111" t="s">
        <v>613</v>
      </c>
      <c r="C399" s="111"/>
      <c r="D399" s="111"/>
      <c r="E399" s="125"/>
      <c r="F399" s="112">
        <f>F400</f>
        <v>30</v>
      </c>
      <c r="G399" s="112">
        <f t="shared" ref="G399:H399" si="148">G400</f>
        <v>30</v>
      </c>
      <c r="H399" s="112">
        <f t="shared" si="148"/>
        <v>30</v>
      </c>
      <c r="I399" s="112">
        <f t="shared" si="145"/>
        <v>100</v>
      </c>
    </row>
    <row r="400" spans="1:9" s="102" customFormat="1" ht="12">
      <c r="A400" s="51" t="s">
        <v>396</v>
      </c>
      <c r="B400" s="111" t="s">
        <v>613</v>
      </c>
      <c r="C400" s="21" t="s">
        <v>488</v>
      </c>
      <c r="D400" s="21"/>
      <c r="E400" s="21"/>
      <c r="F400" s="38">
        <f t="shared" ref="F400:H402" si="149">F401</f>
        <v>30</v>
      </c>
      <c r="G400" s="38">
        <f t="shared" si="149"/>
        <v>30</v>
      </c>
      <c r="H400" s="38">
        <f t="shared" si="149"/>
        <v>30</v>
      </c>
      <c r="I400" s="112">
        <f t="shared" si="145"/>
        <v>100</v>
      </c>
    </row>
    <row r="401" spans="1:9" s="102" customFormat="1" ht="12">
      <c r="A401" s="51" t="s">
        <v>468</v>
      </c>
      <c r="B401" s="111" t="s">
        <v>613</v>
      </c>
      <c r="C401" s="21" t="s">
        <v>488</v>
      </c>
      <c r="D401" s="21" t="s">
        <v>78</v>
      </c>
      <c r="E401" s="21"/>
      <c r="F401" s="38">
        <f t="shared" si="149"/>
        <v>30</v>
      </c>
      <c r="G401" s="38">
        <f t="shared" si="149"/>
        <v>30</v>
      </c>
      <c r="H401" s="38">
        <f t="shared" si="149"/>
        <v>30</v>
      </c>
      <c r="I401" s="112">
        <f t="shared" si="145"/>
        <v>100</v>
      </c>
    </row>
    <row r="402" spans="1:9" s="102" customFormat="1" ht="12">
      <c r="A402" s="119" t="s">
        <v>301</v>
      </c>
      <c r="B402" s="120" t="s">
        <v>613</v>
      </c>
      <c r="C402" s="120" t="s">
        <v>488</v>
      </c>
      <c r="D402" s="120" t="s">
        <v>78</v>
      </c>
      <c r="E402" s="120" t="s">
        <v>84</v>
      </c>
      <c r="F402" s="121">
        <f>F403</f>
        <v>30</v>
      </c>
      <c r="G402" s="121">
        <f t="shared" si="149"/>
        <v>30</v>
      </c>
      <c r="H402" s="121">
        <f t="shared" si="149"/>
        <v>30</v>
      </c>
      <c r="I402" s="121">
        <f t="shared" si="145"/>
        <v>100</v>
      </c>
    </row>
    <row r="403" spans="1:9" s="102" customFormat="1" ht="24">
      <c r="A403" s="119" t="s">
        <v>85</v>
      </c>
      <c r="B403" s="120" t="s">
        <v>613</v>
      </c>
      <c r="C403" s="120" t="s">
        <v>488</v>
      </c>
      <c r="D403" s="120" t="s">
        <v>78</v>
      </c>
      <c r="E403" s="120" t="s">
        <v>86</v>
      </c>
      <c r="F403" s="121">
        <f>200-170</f>
        <v>30</v>
      </c>
      <c r="G403" s="121">
        <v>30</v>
      </c>
      <c r="H403" s="121">
        <v>30</v>
      </c>
      <c r="I403" s="121">
        <f t="shared" si="145"/>
        <v>100</v>
      </c>
    </row>
    <row r="404" spans="1:9" s="102" customFormat="1" ht="24">
      <c r="A404" s="110" t="s">
        <v>453</v>
      </c>
      <c r="B404" s="111" t="s">
        <v>616</v>
      </c>
      <c r="C404" s="111"/>
      <c r="D404" s="111"/>
      <c r="E404" s="111"/>
      <c r="F404" s="112">
        <f>F405</f>
        <v>96</v>
      </c>
      <c r="G404" s="112">
        <f t="shared" ref="G404:H404" si="150">G405</f>
        <v>96</v>
      </c>
      <c r="H404" s="112">
        <f t="shared" si="150"/>
        <v>96</v>
      </c>
      <c r="I404" s="112">
        <f t="shared" si="145"/>
        <v>100</v>
      </c>
    </row>
    <row r="405" spans="1:9" s="102" customFormat="1" ht="12">
      <c r="A405" s="51" t="s">
        <v>396</v>
      </c>
      <c r="B405" s="111" t="s">
        <v>616</v>
      </c>
      <c r="C405" s="21" t="s">
        <v>488</v>
      </c>
      <c r="D405" s="21"/>
      <c r="E405" s="21"/>
      <c r="F405" s="38">
        <f t="shared" ref="F405:H407" si="151">F406</f>
        <v>96</v>
      </c>
      <c r="G405" s="38">
        <f t="shared" si="151"/>
        <v>96</v>
      </c>
      <c r="H405" s="38">
        <f t="shared" si="151"/>
        <v>96</v>
      </c>
      <c r="I405" s="112">
        <f t="shared" si="145"/>
        <v>100</v>
      </c>
    </row>
    <row r="406" spans="1:9" s="102" customFormat="1" ht="12">
      <c r="A406" s="51" t="s">
        <v>468</v>
      </c>
      <c r="B406" s="111" t="s">
        <v>616</v>
      </c>
      <c r="C406" s="21" t="s">
        <v>488</v>
      </c>
      <c r="D406" s="21" t="s">
        <v>78</v>
      </c>
      <c r="E406" s="21"/>
      <c r="F406" s="38">
        <f t="shared" si="151"/>
        <v>96</v>
      </c>
      <c r="G406" s="38">
        <f t="shared" si="151"/>
        <v>96</v>
      </c>
      <c r="H406" s="38">
        <f t="shared" si="151"/>
        <v>96</v>
      </c>
      <c r="I406" s="112">
        <f t="shared" si="145"/>
        <v>100</v>
      </c>
    </row>
    <row r="407" spans="1:9" s="102" customFormat="1" ht="12">
      <c r="A407" s="119" t="s">
        <v>301</v>
      </c>
      <c r="B407" s="120" t="s">
        <v>616</v>
      </c>
      <c r="C407" s="120" t="s">
        <v>488</v>
      </c>
      <c r="D407" s="120" t="s">
        <v>78</v>
      </c>
      <c r="E407" s="120" t="s">
        <v>84</v>
      </c>
      <c r="F407" s="121">
        <f>F408</f>
        <v>96</v>
      </c>
      <c r="G407" s="121">
        <f t="shared" si="151"/>
        <v>96</v>
      </c>
      <c r="H407" s="121">
        <f t="shared" si="151"/>
        <v>96</v>
      </c>
      <c r="I407" s="121">
        <f t="shared" si="145"/>
        <v>100</v>
      </c>
    </row>
    <row r="408" spans="1:9" s="102" customFormat="1" ht="24">
      <c r="A408" s="119" t="s">
        <v>85</v>
      </c>
      <c r="B408" s="120" t="s">
        <v>616</v>
      </c>
      <c r="C408" s="120" t="s">
        <v>488</v>
      </c>
      <c r="D408" s="120" t="s">
        <v>78</v>
      </c>
      <c r="E408" s="120" t="s">
        <v>86</v>
      </c>
      <c r="F408" s="121">
        <f>100-4</f>
        <v>96</v>
      </c>
      <c r="G408" s="121">
        <v>96</v>
      </c>
      <c r="H408" s="121">
        <v>96</v>
      </c>
      <c r="I408" s="121">
        <f t="shared" si="145"/>
        <v>100</v>
      </c>
    </row>
    <row r="409" spans="1:9" s="102" customFormat="1" ht="24">
      <c r="A409" s="110" t="s">
        <v>340</v>
      </c>
      <c r="B409" s="111" t="s">
        <v>617</v>
      </c>
      <c r="C409" s="111"/>
      <c r="D409" s="111"/>
      <c r="E409" s="111"/>
      <c r="F409" s="112">
        <f>F410</f>
        <v>300</v>
      </c>
      <c r="G409" s="134">
        <f t="shared" ref="G409:H409" si="152">G410</f>
        <v>0</v>
      </c>
      <c r="H409" s="112">
        <f t="shared" si="152"/>
        <v>300</v>
      </c>
      <c r="I409" s="112">
        <f t="shared" si="145"/>
        <v>100</v>
      </c>
    </row>
    <row r="410" spans="1:9" s="102" customFormat="1" ht="12">
      <c r="A410" s="51" t="s">
        <v>396</v>
      </c>
      <c r="B410" s="111" t="s">
        <v>617</v>
      </c>
      <c r="C410" s="21" t="s">
        <v>488</v>
      </c>
      <c r="D410" s="21"/>
      <c r="E410" s="21"/>
      <c r="F410" s="38">
        <f t="shared" ref="F410:H412" si="153">F411</f>
        <v>300</v>
      </c>
      <c r="G410" s="87">
        <f t="shared" si="153"/>
        <v>0</v>
      </c>
      <c r="H410" s="38">
        <f t="shared" si="153"/>
        <v>300</v>
      </c>
      <c r="I410" s="112">
        <f t="shared" si="145"/>
        <v>100</v>
      </c>
    </row>
    <row r="411" spans="1:9" s="102" customFormat="1" ht="12">
      <c r="A411" s="51" t="s">
        <v>468</v>
      </c>
      <c r="B411" s="111" t="s">
        <v>617</v>
      </c>
      <c r="C411" s="21" t="s">
        <v>488</v>
      </c>
      <c r="D411" s="21" t="s">
        <v>78</v>
      </c>
      <c r="E411" s="21"/>
      <c r="F411" s="38">
        <f t="shared" si="153"/>
        <v>300</v>
      </c>
      <c r="G411" s="87">
        <f t="shared" si="153"/>
        <v>0</v>
      </c>
      <c r="H411" s="38">
        <f t="shared" si="153"/>
        <v>300</v>
      </c>
      <c r="I411" s="112">
        <f t="shared" si="145"/>
        <v>100</v>
      </c>
    </row>
    <row r="412" spans="1:9" s="102" customFormat="1" ht="12">
      <c r="A412" s="119" t="s">
        <v>301</v>
      </c>
      <c r="B412" s="120" t="s">
        <v>617</v>
      </c>
      <c r="C412" s="120" t="s">
        <v>488</v>
      </c>
      <c r="D412" s="120" t="s">
        <v>78</v>
      </c>
      <c r="E412" s="120" t="s">
        <v>84</v>
      </c>
      <c r="F412" s="121">
        <f>F413</f>
        <v>300</v>
      </c>
      <c r="G412" s="135">
        <f t="shared" si="153"/>
        <v>0</v>
      </c>
      <c r="H412" s="121">
        <f t="shared" si="153"/>
        <v>300</v>
      </c>
      <c r="I412" s="121">
        <f t="shared" si="145"/>
        <v>100</v>
      </c>
    </row>
    <row r="413" spans="1:9" s="102" customFormat="1" ht="24">
      <c r="A413" s="119" t="s">
        <v>85</v>
      </c>
      <c r="B413" s="120" t="s">
        <v>617</v>
      </c>
      <c r="C413" s="120" t="s">
        <v>488</v>
      </c>
      <c r="D413" s="120" t="s">
        <v>78</v>
      </c>
      <c r="E413" s="120" t="s">
        <v>86</v>
      </c>
      <c r="F413" s="121">
        <v>300</v>
      </c>
      <c r="G413" s="135">
        <v>0</v>
      </c>
      <c r="H413" s="121">
        <v>300</v>
      </c>
      <c r="I413" s="121">
        <f t="shared" si="145"/>
        <v>100</v>
      </c>
    </row>
    <row r="414" spans="1:9" s="102" customFormat="1" ht="27">
      <c r="A414" s="123" t="s">
        <v>360</v>
      </c>
      <c r="B414" s="114" t="s">
        <v>262</v>
      </c>
      <c r="C414" s="114"/>
      <c r="D414" s="114"/>
      <c r="E414" s="114"/>
      <c r="F414" s="115">
        <f>F415+F420</f>
        <v>1379.2</v>
      </c>
      <c r="G414" s="115">
        <f t="shared" ref="G414:H414" si="154">G415+G420</f>
        <v>1004.2</v>
      </c>
      <c r="H414" s="115">
        <f t="shared" si="154"/>
        <v>1379.2</v>
      </c>
      <c r="I414" s="115">
        <f t="shared" si="145"/>
        <v>100</v>
      </c>
    </row>
    <row r="415" spans="1:9" s="102" customFormat="1" ht="12">
      <c r="A415" s="141" t="s">
        <v>263</v>
      </c>
      <c r="B415" s="111" t="s">
        <v>605</v>
      </c>
      <c r="C415" s="111"/>
      <c r="D415" s="111"/>
      <c r="E415" s="111"/>
      <c r="F415" s="112">
        <f>F416</f>
        <v>879.2</v>
      </c>
      <c r="G415" s="112">
        <f t="shared" ref="G415:H415" si="155">G416</f>
        <v>879.2</v>
      </c>
      <c r="H415" s="112">
        <f t="shared" si="155"/>
        <v>879.2</v>
      </c>
      <c r="I415" s="112">
        <f t="shared" si="145"/>
        <v>100</v>
      </c>
    </row>
    <row r="416" spans="1:9" s="102" customFormat="1" ht="12">
      <c r="A416" s="51" t="s">
        <v>381</v>
      </c>
      <c r="B416" s="111" t="s">
        <v>605</v>
      </c>
      <c r="C416" s="21" t="s">
        <v>490</v>
      </c>
      <c r="D416" s="21"/>
      <c r="E416" s="21"/>
      <c r="F416" s="38">
        <f t="shared" ref="F416:H418" si="156">F417</f>
        <v>879.2</v>
      </c>
      <c r="G416" s="38">
        <f t="shared" si="156"/>
        <v>879.2</v>
      </c>
      <c r="H416" s="38">
        <f t="shared" si="156"/>
        <v>879.2</v>
      </c>
      <c r="I416" s="112">
        <f t="shared" si="145"/>
        <v>100</v>
      </c>
    </row>
    <row r="417" spans="1:9" s="102" customFormat="1" ht="12">
      <c r="A417" s="51" t="s">
        <v>384</v>
      </c>
      <c r="B417" s="111" t="s">
        <v>605</v>
      </c>
      <c r="C417" s="21" t="s">
        <v>490</v>
      </c>
      <c r="D417" s="21" t="s">
        <v>490</v>
      </c>
      <c r="E417" s="21"/>
      <c r="F417" s="38">
        <f t="shared" si="156"/>
        <v>879.2</v>
      </c>
      <c r="G417" s="38">
        <f t="shared" si="156"/>
        <v>879.2</v>
      </c>
      <c r="H417" s="38">
        <f t="shared" si="156"/>
        <v>879.2</v>
      </c>
      <c r="I417" s="112">
        <f t="shared" si="145"/>
        <v>100</v>
      </c>
    </row>
    <row r="418" spans="1:9" s="102" customFormat="1" ht="24">
      <c r="A418" s="119" t="s">
        <v>596</v>
      </c>
      <c r="B418" s="120" t="s">
        <v>605</v>
      </c>
      <c r="C418" s="120" t="s">
        <v>490</v>
      </c>
      <c r="D418" s="120" t="s">
        <v>490</v>
      </c>
      <c r="E418" s="120" t="s">
        <v>84</v>
      </c>
      <c r="F418" s="121">
        <f>F419</f>
        <v>879.2</v>
      </c>
      <c r="G418" s="121">
        <f t="shared" si="156"/>
        <v>879.2</v>
      </c>
      <c r="H418" s="121">
        <f t="shared" si="156"/>
        <v>879.2</v>
      </c>
      <c r="I418" s="121">
        <f t="shared" si="145"/>
        <v>100</v>
      </c>
    </row>
    <row r="419" spans="1:9" s="102" customFormat="1" ht="24">
      <c r="A419" s="119" t="s">
        <v>85</v>
      </c>
      <c r="B419" s="120" t="s">
        <v>605</v>
      </c>
      <c r="C419" s="120" t="s">
        <v>490</v>
      </c>
      <c r="D419" s="120" t="s">
        <v>490</v>
      </c>
      <c r="E419" s="120" t="s">
        <v>86</v>
      </c>
      <c r="F419" s="121">
        <f>5650-4620-100-50.8</f>
        <v>879.2</v>
      </c>
      <c r="G419" s="121">
        <v>879.2</v>
      </c>
      <c r="H419" s="121">
        <v>879.2</v>
      </c>
      <c r="I419" s="121">
        <f t="shared" si="145"/>
        <v>100</v>
      </c>
    </row>
    <row r="420" spans="1:9" s="35" customFormat="1" ht="24">
      <c r="A420" s="110" t="s">
        <v>65</v>
      </c>
      <c r="B420" s="111" t="s">
        <v>607</v>
      </c>
      <c r="C420" s="111"/>
      <c r="D420" s="111"/>
      <c r="E420" s="111"/>
      <c r="F420" s="112">
        <f>F421</f>
        <v>500</v>
      </c>
      <c r="G420" s="112">
        <f t="shared" ref="G420:H420" si="157">G421</f>
        <v>125</v>
      </c>
      <c r="H420" s="112">
        <f t="shared" si="157"/>
        <v>500</v>
      </c>
      <c r="I420" s="112">
        <f t="shared" si="145"/>
        <v>100</v>
      </c>
    </row>
    <row r="421" spans="1:9" s="35" customFormat="1" ht="15">
      <c r="A421" s="51" t="s">
        <v>381</v>
      </c>
      <c r="B421" s="111" t="s">
        <v>607</v>
      </c>
      <c r="C421" s="21" t="s">
        <v>490</v>
      </c>
      <c r="D421" s="21"/>
      <c r="E421" s="21"/>
      <c r="F421" s="38">
        <f t="shared" ref="F421:H423" si="158">F422</f>
        <v>500</v>
      </c>
      <c r="G421" s="38">
        <f t="shared" si="158"/>
        <v>125</v>
      </c>
      <c r="H421" s="38">
        <f t="shared" si="158"/>
        <v>500</v>
      </c>
      <c r="I421" s="112">
        <f t="shared" si="145"/>
        <v>100</v>
      </c>
    </row>
    <row r="422" spans="1:9" s="35" customFormat="1" ht="15">
      <c r="A422" s="51" t="s">
        <v>384</v>
      </c>
      <c r="B422" s="111" t="s">
        <v>607</v>
      </c>
      <c r="C422" s="21" t="s">
        <v>490</v>
      </c>
      <c r="D422" s="21" t="s">
        <v>490</v>
      </c>
      <c r="E422" s="21"/>
      <c r="F422" s="38">
        <f t="shared" si="158"/>
        <v>500</v>
      </c>
      <c r="G422" s="38">
        <f t="shared" si="158"/>
        <v>125</v>
      </c>
      <c r="H422" s="38">
        <f t="shared" si="158"/>
        <v>500</v>
      </c>
      <c r="I422" s="112">
        <f t="shared" si="145"/>
        <v>100</v>
      </c>
    </row>
    <row r="423" spans="1:9" s="35" customFormat="1" ht="36">
      <c r="A423" s="119" t="s">
        <v>608</v>
      </c>
      <c r="B423" s="120" t="s">
        <v>607</v>
      </c>
      <c r="C423" s="120" t="s">
        <v>490</v>
      </c>
      <c r="D423" s="120" t="s">
        <v>490</v>
      </c>
      <c r="E423" s="120" t="s">
        <v>408</v>
      </c>
      <c r="F423" s="121">
        <f>F424</f>
        <v>500</v>
      </c>
      <c r="G423" s="121">
        <f t="shared" si="158"/>
        <v>125</v>
      </c>
      <c r="H423" s="121">
        <f t="shared" si="158"/>
        <v>500</v>
      </c>
      <c r="I423" s="121">
        <f t="shared" si="145"/>
        <v>100</v>
      </c>
    </row>
    <row r="424" spans="1:9" s="35" customFormat="1" ht="24">
      <c r="A424" s="202" t="s">
        <v>139</v>
      </c>
      <c r="B424" s="120" t="s">
        <v>607</v>
      </c>
      <c r="C424" s="120" t="s">
        <v>490</v>
      </c>
      <c r="D424" s="120" t="s">
        <v>490</v>
      </c>
      <c r="E424" s="120" t="s">
        <v>463</v>
      </c>
      <c r="F424" s="121">
        <v>500</v>
      </c>
      <c r="G424" s="121">
        <v>125</v>
      </c>
      <c r="H424" s="121">
        <v>500</v>
      </c>
      <c r="I424" s="121">
        <f t="shared" si="145"/>
        <v>100</v>
      </c>
    </row>
    <row r="425" spans="1:9" s="35" customFormat="1" ht="24">
      <c r="A425" s="124" t="s">
        <v>361</v>
      </c>
      <c r="B425" s="125" t="s">
        <v>257</v>
      </c>
      <c r="C425" s="125"/>
      <c r="D425" s="125"/>
      <c r="E425" s="125"/>
      <c r="F425" s="126">
        <f>F426+F432+F438+F443+F448+F453</f>
        <v>189396.48246999999</v>
      </c>
      <c r="G425" s="126">
        <f t="shared" ref="G425:H425" si="159">G426+G432+G438+G443+G448+G453</f>
        <v>126556.14132000001</v>
      </c>
      <c r="H425" s="126">
        <f t="shared" si="159"/>
        <v>180396.48246999999</v>
      </c>
      <c r="I425" s="126">
        <f t="shared" si="145"/>
        <v>95.248063806345726</v>
      </c>
    </row>
    <row r="426" spans="1:9" s="35" customFormat="1" ht="24">
      <c r="A426" s="110" t="s">
        <v>603</v>
      </c>
      <c r="B426" s="111" t="s">
        <v>604</v>
      </c>
      <c r="C426" s="111"/>
      <c r="D426" s="111"/>
      <c r="E426" s="111"/>
      <c r="F426" s="112">
        <f>F427</f>
        <v>90628.6</v>
      </c>
      <c r="G426" s="112">
        <f t="shared" ref="G426:H430" si="160">G427</f>
        <v>63391.686880000001</v>
      </c>
      <c r="H426" s="112">
        <f t="shared" si="160"/>
        <v>84628.6</v>
      </c>
      <c r="I426" s="112">
        <f t="shared" si="145"/>
        <v>93.37957333556956</v>
      </c>
    </row>
    <row r="427" spans="1:9" s="35" customFormat="1" ht="24">
      <c r="A427" s="124" t="s">
        <v>309</v>
      </c>
      <c r="B427" s="125" t="s">
        <v>604</v>
      </c>
      <c r="C427" s="125"/>
      <c r="D427" s="125"/>
      <c r="E427" s="125"/>
      <c r="F427" s="126">
        <f>F428</f>
        <v>90628.6</v>
      </c>
      <c r="G427" s="126">
        <f t="shared" si="160"/>
        <v>63391.686880000001</v>
      </c>
      <c r="H427" s="126">
        <f t="shared" si="160"/>
        <v>84628.6</v>
      </c>
      <c r="I427" s="126">
        <f t="shared" si="145"/>
        <v>93.37957333556956</v>
      </c>
    </row>
    <row r="428" spans="1:9" s="35" customFormat="1" ht="15">
      <c r="A428" s="51" t="s">
        <v>381</v>
      </c>
      <c r="B428" s="111" t="s">
        <v>604</v>
      </c>
      <c r="C428" s="21" t="s">
        <v>490</v>
      </c>
      <c r="D428" s="21"/>
      <c r="E428" s="21"/>
      <c r="F428" s="38">
        <f>F429</f>
        <v>90628.6</v>
      </c>
      <c r="G428" s="38">
        <f t="shared" si="160"/>
        <v>63391.686880000001</v>
      </c>
      <c r="H428" s="38">
        <f t="shared" si="160"/>
        <v>84628.6</v>
      </c>
      <c r="I428" s="112">
        <f t="shared" si="145"/>
        <v>93.37957333556956</v>
      </c>
    </row>
    <row r="429" spans="1:9" s="35" customFormat="1" ht="15">
      <c r="A429" s="69" t="s">
        <v>277</v>
      </c>
      <c r="B429" s="111" t="s">
        <v>604</v>
      </c>
      <c r="C429" s="21" t="s">
        <v>490</v>
      </c>
      <c r="D429" s="21" t="s">
        <v>483</v>
      </c>
      <c r="E429" s="21"/>
      <c r="F429" s="38">
        <f>F430</f>
        <v>90628.6</v>
      </c>
      <c r="G429" s="38">
        <f t="shared" si="160"/>
        <v>63391.686880000001</v>
      </c>
      <c r="H429" s="38">
        <f t="shared" si="160"/>
        <v>84628.6</v>
      </c>
      <c r="I429" s="112">
        <f t="shared" si="145"/>
        <v>93.37957333556956</v>
      </c>
    </row>
    <row r="430" spans="1:9" s="35" customFormat="1" ht="24">
      <c r="A430" s="119" t="s">
        <v>104</v>
      </c>
      <c r="B430" s="120" t="s">
        <v>604</v>
      </c>
      <c r="C430" s="120" t="s">
        <v>490</v>
      </c>
      <c r="D430" s="120" t="s">
        <v>483</v>
      </c>
      <c r="E430" s="120" t="s">
        <v>408</v>
      </c>
      <c r="F430" s="121">
        <f>F431</f>
        <v>90628.6</v>
      </c>
      <c r="G430" s="121">
        <f t="shared" si="160"/>
        <v>63391.686880000001</v>
      </c>
      <c r="H430" s="121">
        <f t="shared" si="160"/>
        <v>84628.6</v>
      </c>
      <c r="I430" s="121">
        <f t="shared" si="145"/>
        <v>93.37957333556956</v>
      </c>
    </row>
    <row r="431" spans="1:9" s="35" customFormat="1" ht="15">
      <c r="A431" s="119" t="s">
        <v>105</v>
      </c>
      <c r="B431" s="120" t="s">
        <v>604</v>
      </c>
      <c r="C431" s="120" t="s">
        <v>490</v>
      </c>
      <c r="D431" s="120" t="s">
        <v>483</v>
      </c>
      <c r="E431" s="120" t="s">
        <v>425</v>
      </c>
      <c r="F431" s="121">
        <v>90628.6</v>
      </c>
      <c r="G431" s="121">
        <v>63391.686880000001</v>
      </c>
      <c r="H431" s="121">
        <f>90628.6-3000-3000</f>
        <v>84628.6</v>
      </c>
      <c r="I431" s="121">
        <f t="shared" si="145"/>
        <v>93.37957333556956</v>
      </c>
    </row>
    <row r="432" spans="1:9" s="35" customFormat="1" ht="24">
      <c r="A432" s="110" t="s">
        <v>611</v>
      </c>
      <c r="B432" s="111" t="s">
        <v>612</v>
      </c>
      <c r="C432" s="111"/>
      <c r="D432" s="111"/>
      <c r="E432" s="111"/>
      <c r="F432" s="112">
        <f>F433</f>
        <v>39895.199999999997</v>
      </c>
      <c r="G432" s="112">
        <f t="shared" ref="G432:H436" si="161">G433</f>
        <v>22477.844690000002</v>
      </c>
      <c r="H432" s="112">
        <f t="shared" si="161"/>
        <v>36895.199999999997</v>
      </c>
      <c r="I432" s="112">
        <f t="shared" si="145"/>
        <v>92.480298381760207</v>
      </c>
    </row>
    <row r="433" spans="1:9" s="35" customFormat="1" ht="24">
      <c r="A433" s="124" t="s">
        <v>511</v>
      </c>
      <c r="B433" s="125" t="s">
        <v>612</v>
      </c>
      <c r="C433" s="125"/>
      <c r="D433" s="125"/>
      <c r="E433" s="125"/>
      <c r="F433" s="126">
        <f>F434</f>
        <v>39895.199999999997</v>
      </c>
      <c r="G433" s="126">
        <f t="shared" si="161"/>
        <v>22477.844690000002</v>
      </c>
      <c r="H433" s="126">
        <f t="shared" si="161"/>
        <v>36895.199999999997</v>
      </c>
      <c r="I433" s="126">
        <f t="shared" si="145"/>
        <v>92.480298381760207</v>
      </c>
    </row>
    <row r="434" spans="1:9" s="35" customFormat="1" ht="15">
      <c r="A434" s="51" t="s">
        <v>396</v>
      </c>
      <c r="B434" s="21" t="s">
        <v>612</v>
      </c>
      <c r="C434" s="21" t="s">
        <v>488</v>
      </c>
      <c r="D434" s="21"/>
      <c r="E434" s="21"/>
      <c r="F434" s="38">
        <f>F435</f>
        <v>39895.199999999997</v>
      </c>
      <c r="G434" s="38">
        <f t="shared" si="161"/>
        <v>22477.844690000002</v>
      </c>
      <c r="H434" s="38">
        <f t="shared" si="161"/>
        <v>36895.199999999997</v>
      </c>
      <c r="I434" s="112">
        <f t="shared" si="145"/>
        <v>92.480298381760207</v>
      </c>
    </row>
    <row r="435" spans="1:9" s="35" customFormat="1" ht="15">
      <c r="A435" s="51" t="s">
        <v>386</v>
      </c>
      <c r="B435" s="21" t="s">
        <v>612</v>
      </c>
      <c r="C435" s="21" t="s">
        <v>488</v>
      </c>
      <c r="D435" s="21" t="s">
        <v>76</v>
      </c>
      <c r="E435" s="21"/>
      <c r="F435" s="38">
        <f>F436</f>
        <v>39895.199999999997</v>
      </c>
      <c r="G435" s="38">
        <f t="shared" si="161"/>
        <v>22477.844690000002</v>
      </c>
      <c r="H435" s="38">
        <f t="shared" si="161"/>
        <v>36895.199999999997</v>
      </c>
      <c r="I435" s="112">
        <f t="shared" si="145"/>
        <v>92.480298381760207</v>
      </c>
    </row>
    <row r="436" spans="1:9" s="35" customFormat="1" ht="24">
      <c r="A436" s="119" t="s">
        <v>104</v>
      </c>
      <c r="B436" s="120" t="s">
        <v>612</v>
      </c>
      <c r="C436" s="120" t="s">
        <v>488</v>
      </c>
      <c r="D436" s="120" t="s">
        <v>76</v>
      </c>
      <c r="E436" s="120" t="s">
        <v>408</v>
      </c>
      <c r="F436" s="121">
        <f>F437</f>
        <v>39895.199999999997</v>
      </c>
      <c r="G436" s="121">
        <f t="shared" si="161"/>
        <v>22477.844690000002</v>
      </c>
      <c r="H436" s="121">
        <f t="shared" si="161"/>
        <v>36895.199999999997</v>
      </c>
      <c r="I436" s="121">
        <f t="shared" si="145"/>
        <v>92.480298381760207</v>
      </c>
    </row>
    <row r="437" spans="1:9" s="35" customFormat="1" ht="15">
      <c r="A437" s="119" t="s">
        <v>105</v>
      </c>
      <c r="B437" s="120" t="s">
        <v>612</v>
      </c>
      <c r="C437" s="120" t="s">
        <v>488</v>
      </c>
      <c r="D437" s="120" t="s">
        <v>76</v>
      </c>
      <c r="E437" s="120" t="s">
        <v>425</v>
      </c>
      <c r="F437" s="121">
        <f>39896.2-1</f>
        <v>39895.199999999997</v>
      </c>
      <c r="G437" s="121">
        <v>22477.844690000002</v>
      </c>
      <c r="H437" s="121">
        <f>39896.2-1-3000</f>
        <v>36895.199999999997</v>
      </c>
      <c r="I437" s="121">
        <f t="shared" si="145"/>
        <v>92.480298381760207</v>
      </c>
    </row>
    <row r="438" spans="1:9" s="35" customFormat="1" ht="24">
      <c r="A438" s="124" t="s">
        <v>431</v>
      </c>
      <c r="B438" s="125" t="s">
        <v>610</v>
      </c>
      <c r="C438" s="125"/>
      <c r="D438" s="125"/>
      <c r="E438" s="125"/>
      <c r="F438" s="126">
        <f>F439</f>
        <v>20432.79</v>
      </c>
      <c r="G438" s="126">
        <f t="shared" ref="G438:H441" si="162">G439</f>
        <v>9022.3757900000001</v>
      </c>
      <c r="H438" s="126">
        <f t="shared" si="162"/>
        <v>20432.79</v>
      </c>
      <c r="I438" s="126">
        <f t="shared" si="145"/>
        <v>100</v>
      </c>
    </row>
    <row r="439" spans="1:9" s="35" customFormat="1" ht="15">
      <c r="A439" s="51" t="s">
        <v>396</v>
      </c>
      <c r="B439" s="21" t="s">
        <v>610</v>
      </c>
      <c r="C439" s="21" t="s">
        <v>488</v>
      </c>
      <c r="D439" s="21"/>
      <c r="E439" s="21"/>
      <c r="F439" s="38">
        <f>F440</f>
        <v>20432.79</v>
      </c>
      <c r="G439" s="38">
        <f t="shared" si="162"/>
        <v>9022.3757900000001</v>
      </c>
      <c r="H439" s="38">
        <f t="shared" si="162"/>
        <v>20432.79</v>
      </c>
      <c r="I439" s="112">
        <f t="shared" si="145"/>
        <v>100</v>
      </c>
    </row>
    <row r="440" spans="1:9" s="35" customFormat="1" ht="15">
      <c r="A440" s="51" t="s">
        <v>386</v>
      </c>
      <c r="B440" s="21" t="s">
        <v>610</v>
      </c>
      <c r="C440" s="21" t="s">
        <v>488</v>
      </c>
      <c r="D440" s="21" t="s">
        <v>76</v>
      </c>
      <c r="E440" s="21"/>
      <c r="F440" s="38">
        <f>F441</f>
        <v>20432.79</v>
      </c>
      <c r="G440" s="38">
        <f t="shared" si="162"/>
        <v>9022.3757900000001</v>
      </c>
      <c r="H440" s="38">
        <f t="shared" si="162"/>
        <v>20432.79</v>
      </c>
      <c r="I440" s="112">
        <f t="shared" si="145"/>
        <v>100</v>
      </c>
    </row>
    <row r="441" spans="1:9" s="35" customFormat="1" ht="24">
      <c r="A441" s="119" t="s">
        <v>104</v>
      </c>
      <c r="B441" s="120" t="s">
        <v>610</v>
      </c>
      <c r="C441" s="120" t="s">
        <v>488</v>
      </c>
      <c r="D441" s="120" t="s">
        <v>76</v>
      </c>
      <c r="E441" s="120" t="s">
        <v>408</v>
      </c>
      <c r="F441" s="121">
        <f>F442</f>
        <v>20432.79</v>
      </c>
      <c r="G441" s="121">
        <f t="shared" si="162"/>
        <v>9022.3757900000001</v>
      </c>
      <c r="H441" s="121">
        <f t="shared" si="162"/>
        <v>20432.79</v>
      </c>
      <c r="I441" s="121">
        <f t="shared" si="145"/>
        <v>100</v>
      </c>
    </row>
    <row r="442" spans="1:9" s="35" customFormat="1" ht="15">
      <c r="A442" s="119" t="s">
        <v>105</v>
      </c>
      <c r="B442" s="120" t="s">
        <v>610</v>
      </c>
      <c r="C442" s="120" t="s">
        <v>488</v>
      </c>
      <c r="D442" s="120" t="s">
        <v>76</v>
      </c>
      <c r="E442" s="120" t="s">
        <v>425</v>
      </c>
      <c r="F442" s="121">
        <f>12192+2740.79+5500</f>
        <v>20432.79</v>
      </c>
      <c r="G442" s="121">
        <v>9022.3757900000001</v>
      </c>
      <c r="H442" s="121">
        <f>12192+2740.79+5500</f>
        <v>20432.79</v>
      </c>
      <c r="I442" s="121">
        <f t="shared" si="145"/>
        <v>100</v>
      </c>
    </row>
    <row r="443" spans="1:9" s="35" customFormat="1" ht="24">
      <c r="A443" s="124" t="s">
        <v>28</v>
      </c>
      <c r="B443" s="125" t="s">
        <v>266</v>
      </c>
      <c r="C443" s="125"/>
      <c r="D443" s="125"/>
      <c r="E443" s="125"/>
      <c r="F443" s="136">
        <f>F444</f>
        <v>38369</v>
      </c>
      <c r="G443" s="136">
        <f t="shared" ref="G443:H446" si="163">G444</f>
        <v>31593.341489999999</v>
      </c>
      <c r="H443" s="136">
        <f t="shared" si="163"/>
        <v>38369</v>
      </c>
      <c r="I443" s="126">
        <f t="shared" si="145"/>
        <v>100</v>
      </c>
    </row>
    <row r="444" spans="1:9" s="35" customFormat="1" ht="15">
      <c r="A444" s="51" t="s">
        <v>396</v>
      </c>
      <c r="B444" s="21" t="s">
        <v>266</v>
      </c>
      <c r="C444" s="21" t="s">
        <v>488</v>
      </c>
      <c r="D444" s="21"/>
      <c r="E444" s="21"/>
      <c r="F444" s="38">
        <f>F445</f>
        <v>38369</v>
      </c>
      <c r="G444" s="38">
        <f t="shared" si="163"/>
        <v>31593.341489999999</v>
      </c>
      <c r="H444" s="38">
        <f t="shared" si="163"/>
        <v>38369</v>
      </c>
      <c r="I444" s="112">
        <f t="shared" si="145"/>
        <v>100</v>
      </c>
    </row>
    <row r="445" spans="1:9" s="35" customFormat="1" ht="15">
      <c r="A445" s="51" t="s">
        <v>386</v>
      </c>
      <c r="B445" s="21" t="s">
        <v>266</v>
      </c>
      <c r="C445" s="21" t="s">
        <v>488</v>
      </c>
      <c r="D445" s="21" t="s">
        <v>76</v>
      </c>
      <c r="E445" s="21"/>
      <c r="F445" s="38">
        <f>F446</f>
        <v>38369</v>
      </c>
      <c r="G445" s="38">
        <f t="shared" si="163"/>
        <v>31593.341489999999</v>
      </c>
      <c r="H445" s="38">
        <f t="shared" si="163"/>
        <v>38369</v>
      </c>
      <c r="I445" s="112">
        <f t="shared" si="145"/>
        <v>100</v>
      </c>
    </row>
    <row r="446" spans="1:9" s="35" customFormat="1" ht="24">
      <c r="A446" s="119" t="s">
        <v>104</v>
      </c>
      <c r="B446" s="120" t="s">
        <v>266</v>
      </c>
      <c r="C446" s="120" t="s">
        <v>488</v>
      </c>
      <c r="D446" s="120" t="s">
        <v>76</v>
      </c>
      <c r="E446" s="120" t="s">
        <v>408</v>
      </c>
      <c r="F446" s="135">
        <f>F447</f>
        <v>38369</v>
      </c>
      <c r="G446" s="135">
        <f t="shared" si="163"/>
        <v>31593.341489999999</v>
      </c>
      <c r="H446" s="135">
        <f t="shared" si="163"/>
        <v>38369</v>
      </c>
      <c r="I446" s="121">
        <f t="shared" si="145"/>
        <v>100</v>
      </c>
    </row>
    <row r="447" spans="1:9" s="35" customFormat="1" ht="15">
      <c r="A447" s="119" t="s">
        <v>105</v>
      </c>
      <c r="B447" s="120" t="s">
        <v>266</v>
      </c>
      <c r="C447" s="120" t="s">
        <v>488</v>
      </c>
      <c r="D447" s="120" t="s">
        <v>76</v>
      </c>
      <c r="E447" s="120" t="s">
        <v>425</v>
      </c>
      <c r="F447" s="135">
        <v>38369</v>
      </c>
      <c r="G447" s="135">
        <v>31593.341489999999</v>
      </c>
      <c r="H447" s="135">
        <v>38369</v>
      </c>
      <c r="I447" s="121">
        <f t="shared" si="145"/>
        <v>100</v>
      </c>
    </row>
    <row r="448" spans="1:9" s="35" customFormat="1" ht="15">
      <c r="A448" s="69" t="s">
        <v>730</v>
      </c>
      <c r="B448" s="21" t="s">
        <v>732</v>
      </c>
      <c r="C448" s="21"/>
      <c r="D448" s="21"/>
      <c r="E448" s="21"/>
      <c r="F448" s="134">
        <f>F449</f>
        <v>69.892470000000003</v>
      </c>
      <c r="G448" s="134">
        <f t="shared" ref="G448:H451" si="164">G449</f>
        <v>69.892470000000003</v>
      </c>
      <c r="H448" s="134">
        <f t="shared" si="164"/>
        <v>69.892470000000003</v>
      </c>
      <c r="I448" s="112">
        <f t="shared" si="145"/>
        <v>100</v>
      </c>
    </row>
    <row r="449" spans="1:9" s="35" customFormat="1" ht="15">
      <c r="A449" s="51" t="s">
        <v>396</v>
      </c>
      <c r="B449" s="21" t="s">
        <v>732</v>
      </c>
      <c r="C449" s="21" t="s">
        <v>488</v>
      </c>
      <c r="D449" s="21"/>
      <c r="E449" s="21"/>
      <c r="F449" s="134">
        <f>F450</f>
        <v>69.892470000000003</v>
      </c>
      <c r="G449" s="134">
        <f t="shared" si="164"/>
        <v>69.892470000000003</v>
      </c>
      <c r="H449" s="134">
        <f t="shared" si="164"/>
        <v>69.892470000000003</v>
      </c>
      <c r="I449" s="112">
        <f t="shared" si="145"/>
        <v>100</v>
      </c>
    </row>
    <row r="450" spans="1:9" s="35" customFormat="1" ht="15">
      <c r="A450" s="51" t="s">
        <v>386</v>
      </c>
      <c r="B450" s="21" t="s">
        <v>732</v>
      </c>
      <c r="C450" s="21" t="s">
        <v>488</v>
      </c>
      <c r="D450" s="21" t="s">
        <v>76</v>
      </c>
      <c r="E450" s="21"/>
      <c r="F450" s="134">
        <f>F451</f>
        <v>69.892470000000003</v>
      </c>
      <c r="G450" s="134">
        <f t="shared" si="164"/>
        <v>69.892470000000003</v>
      </c>
      <c r="H450" s="134">
        <f t="shared" si="164"/>
        <v>69.892470000000003</v>
      </c>
      <c r="I450" s="112">
        <f t="shared" si="145"/>
        <v>100</v>
      </c>
    </row>
    <row r="451" spans="1:9" s="35" customFormat="1" ht="24">
      <c r="A451" s="72" t="s">
        <v>104</v>
      </c>
      <c r="B451" s="28" t="s">
        <v>732</v>
      </c>
      <c r="C451" s="28" t="s">
        <v>488</v>
      </c>
      <c r="D451" s="28" t="s">
        <v>76</v>
      </c>
      <c r="E451" s="28" t="s">
        <v>408</v>
      </c>
      <c r="F451" s="135">
        <f>F452</f>
        <v>69.892470000000003</v>
      </c>
      <c r="G451" s="135">
        <f t="shared" si="164"/>
        <v>69.892470000000003</v>
      </c>
      <c r="H451" s="135">
        <f t="shared" si="164"/>
        <v>69.892470000000003</v>
      </c>
      <c r="I451" s="121">
        <f t="shared" si="145"/>
        <v>100</v>
      </c>
    </row>
    <row r="452" spans="1:9" s="35" customFormat="1" ht="15">
      <c r="A452" s="72" t="s">
        <v>105</v>
      </c>
      <c r="B452" s="28" t="s">
        <v>732</v>
      </c>
      <c r="C452" s="28" t="s">
        <v>488</v>
      </c>
      <c r="D452" s="28" t="s">
        <v>76</v>
      </c>
      <c r="E452" s="28" t="s">
        <v>425</v>
      </c>
      <c r="F452" s="135">
        <v>69.892470000000003</v>
      </c>
      <c r="G452" s="135">
        <v>69.892470000000003</v>
      </c>
      <c r="H452" s="135">
        <v>69.892470000000003</v>
      </c>
      <c r="I452" s="121">
        <f t="shared" si="145"/>
        <v>100</v>
      </c>
    </row>
    <row r="453" spans="1:9" s="35" customFormat="1" ht="15">
      <c r="A453" s="69" t="s">
        <v>733</v>
      </c>
      <c r="B453" s="21" t="s">
        <v>734</v>
      </c>
      <c r="C453" s="21"/>
      <c r="D453" s="21"/>
      <c r="E453" s="21"/>
      <c r="F453" s="134">
        <f>F454</f>
        <v>1</v>
      </c>
      <c r="G453" s="134">
        <f t="shared" ref="G453:H456" si="165">G454</f>
        <v>1</v>
      </c>
      <c r="H453" s="134">
        <f t="shared" si="165"/>
        <v>1</v>
      </c>
      <c r="I453" s="112">
        <f t="shared" si="145"/>
        <v>100</v>
      </c>
    </row>
    <row r="454" spans="1:9" s="35" customFormat="1" ht="15">
      <c r="A454" s="51" t="s">
        <v>396</v>
      </c>
      <c r="B454" s="21" t="s">
        <v>734</v>
      </c>
      <c r="C454" s="21" t="s">
        <v>488</v>
      </c>
      <c r="D454" s="21"/>
      <c r="E454" s="22"/>
      <c r="F454" s="134">
        <f>F455</f>
        <v>1</v>
      </c>
      <c r="G454" s="134">
        <f t="shared" si="165"/>
        <v>1</v>
      </c>
      <c r="H454" s="134">
        <f t="shared" si="165"/>
        <v>1</v>
      </c>
      <c r="I454" s="112">
        <f t="shared" si="145"/>
        <v>100</v>
      </c>
    </row>
    <row r="455" spans="1:9" s="35" customFormat="1" ht="15">
      <c r="A455" s="51" t="s">
        <v>386</v>
      </c>
      <c r="B455" s="21" t="s">
        <v>734</v>
      </c>
      <c r="C455" s="21" t="s">
        <v>488</v>
      </c>
      <c r="D455" s="21" t="s">
        <v>76</v>
      </c>
      <c r="E455" s="22"/>
      <c r="F455" s="134">
        <f>F456</f>
        <v>1</v>
      </c>
      <c r="G455" s="134">
        <f t="shared" si="165"/>
        <v>1</v>
      </c>
      <c r="H455" s="134">
        <f t="shared" si="165"/>
        <v>1</v>
      </c>
      <c r="I455" s="112">
        <f t="shared" si="145"/>
        <v>100</v>
      </c>
    </row>
    <row r="456" spans="1:9" s="35" customFormat="1" ht="24">
      <c r="A456" s="72" t="s">
        <v>104</v>
      </c>
      <c r="B456" s="28" t="s">
        <v>734</v>
      </c>
      <c r="C456" s="28" t="s">
        <v>488</v>
      </c>
      <c r="D456" s="28" t="s">
        <v>76</v>
      </c>
      <c r="E456" s="28" t="s">
        <v>408</v>
      </c>
      <c r="F456" s="135">
        <f>F457</f>
        <v>1</v>
      </c>
      <c r="G456" s="135">
        <f t="shared" si="165"/>
        <v>1</v>
      </c>
      <c r="H456" s="135">
        <f t="shared" si="165"/>
        <v>1</v>
      </c>
      <c r="I456" s="121">
        <f t="shared" si="145"/>
        <v>100</v>
      </c>
    </row>
    <row r="457" spans="1:9" s="35" customFormat="1" ht="15">
      <c r="A457" s="72" t="s">
        <v>105</v>
      </c>
      <c r="B457" s="28" t="s">
        <v>734</v>
      </c>
      <c r="C457" s="28" t="s">
        <v>488</v>
      </c>
      <c r="D457" s="28" t="s">
        <v>76</v>
      </c>
      <c r="E457" s="28" t="s">
        <v>425</v>
      </c>
      <c r="F457" s="135">
        <v>1</v>
      </c>
      <c r="G457" s="135">
        <v>1</v>
      </c>
      <c r="H457" s="135">
        <v>1</v>
      </c>
      <c r="I457" s="121">
        <f t="shared" ref="I457:I472" si="166">H457/F457*100</f>
        <v>100</v>
      </c>
    </row>
    <row r="458" spans="1:9" s="35" customFormat="1" ht="27">
      <c r="A458" s="123" t="s">
        <v>268</v>
      </c>
      <c r="B458" s="114" t="s">
        <v>270</v>
      </c>
      <c r="C458" s="114"/>
      <c r="D458" s="114"/>
      <c r="E458" s="114"/>
      <c r="F458" s="115">
        <f>F459</f>
        <v>4025</v>
      </c>
      <c r="G458" s="115">
        <f t="shared" ref="G458:H459" si="167">G459</f>
        <v>2981.0587599999999</v>
      </c>
      <c r="H458" s="115">
        <f t="shared" si="167"/>
        <v>4025</v>
      </c>
      <c r="I458" s="115">
        <f t="shared" si="166"/>
        <v>100</v>
      </c>
    </row>
    <row r="459" spans="1:9" s="35" customFormat="1" ht="24">
      <c r="A459" s="110" t="s">
        <v>269</v>
      </c>
      <c r="B459" s="111" t="s">
        <v>270</v>
      </c>
      <c r="C459" s="111"/>
      <c r="D459" s="111"/>
      <c r="E459" s="111"/>
      <c r="F459" s="112">
        <f>F460</f>
        <v>4025</v>
      </c>
      <c r="G459" s="112">
        <f t="shared" si="167"/>
        <v>2981.0587599999999</v>
      </c>
      <c r="H459" s="112">
        <f t="shared" si="167"/>
        <v>4025</v>
      </c>
      <c r="I459" s="112">
        <f t="shared" si="166"/>
        <v>100</v>
      </c>
    </row>
    <row r="460" spans="1:9" s="35" customFormat="1" ht="36">
      <c r="A460" s="124" t="s">
        <v>410</v>
      </c>
      <c r="B460" s="139" t="s">
        <v>270</v>
      </c>
      <c r="C460" s="125"/>
      <c r="D460" s="125"/>
      <c r="E460" s="125"/>
      <c r="F460" s="144">
        <f>F461+F466</f>
        <v>4025</v>
      </c>
      <c r="G460" s="144">
        <f t="shared" ref="G460:H460" si="168">G461+G466</f>
        <v>2981.0587599999999</v>
      </c>
      <c r="H460" s="144">
        <f t="shared" si="168"/>
        <v>4025</v>
      </c>
      <c r="I460" s="144">
        <f t="shared" si="166"/>
        <v>100</v>
      </c>
    </row>
    <row r="461" spans="1:9" s="35" customFormat="1" ht="24">
      <c r="A461" s="127" t="s">
        <v>392</v>
      </c>
      <c r="B461" s="111" t="s">
        <v>72</v>
      </c>
      <c r="C461" s="111"/>
      <c r="D461" s="111"/>
      <c r="E461" s="111"/>
      <c r="F461" s="112">
        <f>F462</f>
        <v>3750</v>
      </c>
      <c r="G461" s="112">
        <f t="shared" ref="G461:H464" si="169">G462</f>
        <v>2873.7995099999998</v>
      </c>
      <c r="H461" s="112">
        <f t="shared" si="169"/>
        <v>3750</v>
      </c>
      <c r="I461" s="112">
        <f t="shared" si="166"/>
        <v>100</v>
      </c>
    </row>
    <row r="462" spans="1:9" s="35" customFormat="1" ht="15">
      <c r="A462" s="51" t="s">
        <v>396</v>
      </c>
      <c r="B462" s="111" t="s">
        <v>72</v>
      </c>
      <c r="C462" s="111" t="s">
        <v>488</v>
      </c>
      <c r="D462" s="111"/>
      <c r="E462" s="111"/>
      <c r="F462" s="112">
        <f>F463</f>
        <v>3750</v>
      </c>
      <c r="G462" s="112">
        <f t="shared" si="169"/>
        <v>2873.7995099999998</v>
      </c>
      <c r="H462" s="112">
        <f t="shared" si="169"/>
        <v>3750</v>
      </c>
      <c r="I462" s="112">
        <f t="shared" si="166"/>
        <v>100</v>
      </c>
    </row>
    <row r="463" spans="1:9" s="35" customFormat="1" ht="15">
      <c r="A463" s="51" t="s">
        <v>468</v>
      </c>
      <c r="B463" s="111" t="s">
        <v>72</v>
      </c>
      <c r="C463" s="111" t="s">
        <v>488</v>
      </c>
      <c r="D463" s="111" t="s">
        <v>78</v>
      </c>
      <c r="E463" s="111"/>
      <c r="F463" s="112">
        <f>F464</f>
        <v>3750</v>
      </c>
      <c r="G463" s="112">
        <f t="shared" si="169"/>
        <v>2873.7995099999998</v>
      </c>
      <c r="H463" s="112">
        <f t="shared" si="169"/>
        <v>3750</v>
      </c>
      <c r="I463" s="112">
        <f t="shared" si="166"/>
        <v>100</v>
      </c>
    </row>
    <row r="464" spans="1:9" s="35" customFormat="1" ht="36">
      <c r="A464" s="119" t="s">
        <v>79</v>
      </c>
      <c r="B464" s="120" t="s">
        <v>72</v>
      </c>
      <c r="C464" s="120" t="s">
        <v>488</v>
      </c>
      <c r="D464" s="120" t="s">
        <v>78</v>
      </c>
      <c r="E464" s="120" t="s">
        <v>80</v>
      </c>
      <c r="F464" s="121">
        <f>F465</f>
        <v>3750</v>
      </c>
      <c r="G464" s="121">
        <f t="shared" si="169"/>
        <v>2873.7995099999998</v>
      </c>
      <c r="H464" s="121">
        <f t="shared" si="169"/>
        <v>3750</v>
      </c>
      <c r="I464" s="121">
        <f t="shared" si="166"/>
        <v>100</v>
      </c>
    </row>
    <row r="465" spans="1:9" s="35" customFormat="1" ht="15">
      <c r="A465" s="119" t="s">
        <v>81</v>
      </c>
      <c r="B465" s="120" t="s">
        <v>72</v>
      </c>
      <c r="C465" s="120" t="s">
        <v>488</v>
      </c>
      <c r="D465" s="120" t="s">
        <v>78</v>
      </c>
      <c r="E465" s="120" t="s">
        <v>82</v>
      </c>
      <c r="F465" s="121">
        <f>2870+20+860</f>
        <v>3750</v>
      </c>
      <c r="G465" s="121">
        <v>2873.7995099999998</v>
      </c>
      <c r="H465" s="121">
        <f>2870+20+860</f>
        <v>3750</v>
      </c>
      <c r="I465" s="121">
        <f t="shared" si="166"/>
        <v>100</v>
      </c>
    </row>
    <row r="466" spans="1:9" s="35" customFormat="1" ht="15">
      <c r="A466" s="110" t="s">
        <v>83</v>
      </c>
      <c r="B466" s="111" t="s">
        <v>73</v>
      </c>
      <c r="C466" s="111"/>
      <c r="D466" s="111"/>
      <c r="E466" s="111"/>
      <c r="F466" s="112">
        <f>F467</f>
        <v>275</v>
      </c>
      <c r="G466" s="112">
        <f t="shared" ref="G466:H467" si="170">G467</f>
        <v>107.25924999999999</v>
      </c>
      <c r="H466" s="112">
        <f t="shared" si="170"/>
        <v>275</v>
      </c>
      <c r="I466" s="121">
        <f t="shared" si="166"/>
        <v>100</v>
      </c>
    </row>
    <row r="467" spans="1:9" s="35" customFormat="1" ht="15">
      <c r="A467" s="51" t="s">
        <v>396</v>
      </c>
      <c r="B467" s="111" t="s">
        <v>73</v>
      </c>
      <c r="C467" s="111" t="s">
        <v>488</v>
      </c>
      <c r="D467" s="111"/>
      <c r="E467" s="111"/>
      <c r="F467" s="112">
        <f>F468</f>
        <v>275</v>
      </c>
      <c r="G467" s="112">
        <f t="shared" si="170"/>
        <v>107.25924999999999</v>
      </c>
      <c r="H467" s="112">
        <f t="shared" si="170"/>
        <v>275</v>
      </c>
      <c r="I467" s="121">
        <f t="shared" si="166"/>
        <v>100</v>
      </c>
    </row>
    <row r="468" spans="1:9" s="35" customFormat="1" ht="15">
      <c r="A468" s="51" t="s">
        <v>468</v>
      </c>
      <c r="B468" s="111" t="s">
        <v>73</v>
      </c>
      <c r="C468" s="111" t="s">
        <v>488</v>
      </c>
      <c r="D468" s="111" t="s">
        <v>78</v>
      </c>
      <c r="E468" s="111"/>
      <c r="F468" s="112">
        <f>F469+F471</f>
        <v>275</v>
      </c>
      <c r="G468" s="112">
        <f t="shared" ref="G468:H468" si="171">G469+G471</f>
        <v>107.25924999999999</v>
      </c>
      <c r="H468" s="112">
        <f t="shared" si="171"/>
        <v>275</v>
      </c>
      <c r="I468" s="121">
        <f t="shared" si="166"/>
        <v>100</v>
      </c>
    </row>
    <row r="469" spans="1:9" s="35" customFormat="1" ht="15">
      <c r="A469" s="119" t="s">
        <v>301</v>
      </c>
      <c r="B469" s="120" t="s">
        <v>73</v>
      </c>
      <c r="C469" s="120" t="s">
        <v>488</v>
      </c>
      <c r="D469" s="120" t="s">
        <v>78</v>
      </c>
      <c r="E469" s="120" t="s">
        <v>84</v>
      </c>
      <c r="F469" s="121">
        <f>F470</f>
        <v>235</v>
      </c>
      <c r="G469" s="121">
        <f t="shared" ref="G469:H469" si="172">G470</f>
        <v>107.25924999999999</v>
      </c>
      <c r="H469" s="121">
        <f t="shared" si="172"/>
        <v>235</v>
      </c>
      <c r="I469" s="121">
        <f t="shared" si="166"/>
        <v>100</v>
      </c>
    </row>
    <row r="470" spans="1:9" s="35" customFormat="1" ht="24">
      <c r="A470" s="119" t="s">
        <v>85</v>
      </c>
      <c r="B470" s="120" t="s">
        <v>73</v>
      </c>
      <c r="C470" s="120" t="s">
        <v>488</v>
      </c>
      <c r="D470" s="120" t="s">
        <v>78</v>
      </c>
      <c r="E470" s="120" t="s">
        <v>86</v>
      </c>
      <c r="F470" s="121">
        <f>85+100+50</f>
        <v>235</v>
      </c>
      <c r="G470" s="121">
        <v>107.25924999999999</v>
      </c>
      <c r="H470" s="121">
        <f>85+100+50</f>
        <v>235</v>
      </c>
      <c r="I470" s="121">
        <f t="shared" si="166"/>
        <v>100</v>
      </c>
    </row>
    <row r="471" spans="1:9" s="35" customFormat="1" ht="15">
      <c r="A471" s="119" t="s">
        <v>87</v>
      </c>
      <c r="B471" s="120" t="s">
        <v>73</v>
      </c>
      <c r="C471" s="120" t="s">
        <v>488</v>
      </c>
      <c r="D471" s="120" t="s">
        <v>78</v>
      </c>
      <c r="E471" s="120" t="s">
        <v>88</v>
      </c>
      <c r="F471" s="121">
        <f>F472</f>
        <v>40</v>
      </c>
      <c r="G471" s="121">
        <f t="shared" ref="G471:H471" si="173">G472</f>
        <v>0</v>
      </c>
      <c r="H471" s="121">
        <f t="shared" si="173"/>
        <v>40</v>
      </c>
      <c r="I471" s="121">
        <f t="shared" si="166"/>
        <v>100</v>
      </c>
    </row>
    <row r="472" spans="1:9" s="35" customFormat="1" ht="15">
      <c r="A472" s="119" t="s">
        <v>514</v>
      </c>
      <c r="B472" s="120" t="s">
        <v>73</v>
      </c>
      <c r="C472" s="120" t="s">
        <v>488</v>
      </c>
      <c r="D472" s="120" t="s">
        <v>78</v>
      </c>
      <c r="E472" s="120" t="s">
        <v>89</v>
      </c>
      <c r="F472" s="121">
        <v>40</v>
      </c>
      <c r="G472" s="121">
        <v>0</v>
      </c>
      <c r="H472" s="121">
        <v>40</v>
      </c>
      <c r="I472" s="121">
        <f t="shared" si="166"/>
        <v>100</v>
      </c>
    </row>
    <row r="473" spans="1:9" s="250" customFormat="1" ht="40.5">
      <c r="A473" s="131" t="s">
        <v>699</v>
      </c>
      <c r="B473" s="132" t="s">
        <v>242</v>
      </c>
      <c r="C473" s="132"/>
      <c r="D473" s="132"/>
      <c r="E473" s="132"/>
      <c r="F473" s="192">
        <f>F474+F490+F496+F509+F517+F533+F538</f>
        <v>316859.30972000002</v>
      </c>
      <c r="G473" s="192">
        <f t="shared" ref="G473:H473" si="174">G474+G490+G496+G509+G517+G533+G538</f>
        <v>179928.58021999997</v>
      </c>
      <c r="H473" s="192">
        <f t="shared" si="174"/>
        <v>257764.86271999998</v>
      </c>
      <c r="I473" s="192">
        <f>H473/F473*100</f>
        <v>81.349941381801216</v>
      </c>
    </row>
    <row r="474" spans="1:9" s="35" customFormat="1" ht="24">
      <c r="A474" s="124" t="s">
        <v>59</v>
      </c>
      <c r="B474" s="111" t="s">
        <v>244</v>
      </c>
      <c r="C474" s="111"/>
      <c r="D474" s="111"/>
      <c r="E474" s="111"/>
      <c r="F474" s="112">
        <f>F475+F480+F485</f>
        <v>10500</v>
      </c>
      <c r="G474" s="112">
        <f t="shared" ref="G474:H474" si="175">G475+G480+G485</f>
        <v>6942.982</v>
      </c>
      <c r="H474" s="112">
        <f t="shared" si="175"/>
        <v>8905.5529999999999</v>
      </c>
      <c r="I474" s="112">
        <f t="shared" ref="I474:I537" si="176">H474/F474*100</f>
        <v>84.814790476190467</v>
      </c>
    </row>
    <row r="475" spans="1:9" s="35" customFormat="1" ht="15">
      <c r="A475" s="110" t="s">
        <v>742</v>
      </c>
      <c r="B475" s="125" t="s">
        <v>656</v>
      </c>
      <c r="C475" s="125"/>
      <c r="D475" s="125"/>
      <c r="E475" s="125"/>
      <c r="F475" s="136">
        <f>F476</f>
        <v>5000</v>
      </c>
      <c r="G475" s="136">
        <f t="shared" ref="G475:H475" si="177">G476</f>
        <v>4925.3090000000002</v>
      </c>
      <c r="H475" s="136">
        <f t="shared" si="177"/>
        <v>4925.3090000000002</v>
      </c>
      <c r="I475" s="112">
        <f t="shared" si="176"/>
        <v>98.506180000000001</v>
      </c>
    </row>
    <row r="476" spans="1:9" s="35" customFormat="1" ht="15">
      <c r="A476" s="51" t="s">
        <v>375</v>
      </c>
      <c r="B476" s="21" t="s">
        <v>656</v>
      </c>
      <c r="C476" s="21" t="s">
        <v>432</v>
      </c>
      <c r="D476" s="21"/>
      <c r="E476" s="21"/>
      <c r="F476" s="87">
        <f t="shared" ref="F476:H478" si="178">F477</f>
        <v>5000</v>
      </c>
      <c r="G476" s="87">
        <f t="shared" si="178"/>
        <v>4925.3090000000002</v>
      </c>
      <c r="H476" s="87">
        <f t="shared" si="178"/>
        <v>4925.3090000000002</v>
      </c>
      <c r="I476" s="112">
        <f t="shared" si="176"/>
        <v>98.506180000000001</v>
      </c>
    </row>
    <row r="477" spans="1:9" s="35" customFormat="1" ht="15">
      <c r="A477" s="51" t="s">
        <v>376</v>
      </c>
      <c r="B477" s="21" t="s">
        <v>656</v>
      </c>
      <c r="C477" s="21" t="s">
        <v>432</v>
      </c>
      <c r="D477" s="21" t="s">
        <v>76</v>
      </c>
      <c r="E477" s="21"/>
      <c r="F477" s="87">
        <f>F478</f>
        <v>5000</v>
      </c>
      <c r="G477" s="87">
        <f t="shared" si="178"/>
        <v>4925.3090000000002</v>
      </c>
      <c r="H477" s="87">
        <f t="shared" si="178"/>
        <v>4925.3090000000002</v>
      </c>
      <c r="I477" s="112">
        <f t="shared" si="176"/>
        <v>98.506180000000001</v>
      </c>
    </row>
    <row r="478" spans="1:9" s="35" customFormat="1" ht="15">
      <c r="A478" s="119" t="s">
        <v>301</v>
      </c>
      <c r="B478" s="120" t="s">
        <v>656</v>
      </c>
      <c r="C478" s="120" t="s">
        <v>432</v>
      </c>
      <c r="D478" s="120" t="s">
        <v>76</v>
      </c>
      <c r="E478" s="120" t="s">
        <v>84</v>
      </c>
      <c r="F478" s="135">
        <f>F479</f>
        <v>5000</v>
      </c>
      <c r="G478" s="135">
        <f t="shared" si="178"/>
        <v>4925.3090000000002</v>
      </c>
      <c r="H478" s="135">
        <f t="shared" si="178"/>
        <v>4925.3090000000002</v>
      </c>
      <c r="I478" s="121">
        <f t="shared" si="176"/>
        <v>98.506180000000001</v>
      </c>
    </row>
    <row r="479" spans="1:9" s="35" customFormat="1" ht="24">
      <c r="A479" s="119" t="s">
        <v>85</v>
      </c>
      <c r="B479" s="120" t="s">
        <v>656</v>
      </c>
      <c r="C479" s="120" t="s">
        <v>432</v>
      </c>
      <c r="D479" s="120" t="s">
        <v>76</v>
      </c>
      <c r="E479" s="120" t="s">
        <v>86</v>
      </c>
      <c r="F479" s="135">
        <v>5000</v>
      </c>
      <c r="G479" s="135">
        <v>4925.3090000000002</v>
      </c>
      <c r="H479" s="135">
        <v>4925.3090000000002</v>
      </c>
      <c r="I479" s="121">
        <f t="shared" si="176"/>
        <v>98.506180000000001</v>
      </c>
    </row>
    <row r="480" spans="1:9" s="35" customFormat="1" ht="15">
      <c r="A480" s="110" t="s">
        <v>657</v>
      </c>
      <c r="B480" s="125" t="s">
        <v>658</v>
      </c>
      <c r="C480" s="125"/>
      <c r="D480" s="125"/>
      <c r="E480" s="125"/>
      <c r="F480" s="136">
        <f>F481</f>
        <v>1500</v>
      </c>
      <c r="G480" s="136">
        <f t="shared" ref="G480:H483" si="179">G481</f>
        <v>1480.2439999999999</v>
      </c>
      <c r="H480" s="136">
        <f t="shared" si="179"/>
        <v>1480.2439999999999</v>
      </c>
      <c r="I480" s="112">
        <f t="shared" si="176"/>
        <v>98.682933333333324</v>
      </c>
    </row>
    <row r="481" spans="1:9" s="35" customFormat="1" ht="15">
      <c r="A481" s="51" t="s">
        <v>375</v>
      </c>
      <c r="B481" s="21" t="s">
        <v>658</v>
      </c>
      <c r="C481" s="21" t="s">
        <v>432</v>
      </c>
      <c r="D481" s="21"/>
      <c r="E481" s="21"/>
      <c r="F481" s="87">
        <f>F482</f>
        <v>1500</v>
      </c>
      <c r="G481" s="87">
        <f t="shared" si="179"/>
        <v>1480.2439999999999</v>
      </c>
      <c r="H481" s="87">
        <f t="shared" si="179"/>
        <v>1480.2439999999999</v>
      </c>
      <c r="I481" s="112">
        <f t="shared" si="176"/>
        <v>98.682933333333324</v>
      </c>
    </row>
    <row r="482" spans="1:9" s="35" customFormat="1" ht="15">
      <c r="A482" s="51" t="s">
        <v>376</v>
      </c>
      <c r="B482" s="21" t="s">
        <v>658</v>
      </c>
      <c r="C482" s="21" t="s">
        <v>432</v>
      </c>
      <c r="D482" s="21" t="s">
        <v>76</v>
      </c>
      <c r="E482" s="21"/>
      <c r="F482" s="87">
        <f>F483</f>
        <v>1500</v>
      </c>
      <c r="G482" s="87">
        <f t="shared" si="179"/>
        <v>1480.2439999999999</v>
      </c>
      <c r="H482" s="87">
        <f t="shared" si="179"/>
        <v>1480.2439999999999</v>
      </c>
      <c r="I482" s="112">
        <f t="shared" si="176"/>
        <v>98.682933333333324</v>
      </c>
    </row>
    <row r="483" spans="1:9" s="35" customFormat="1" ht="15">
      <c r="A483" s="119" t="s">
        <v>301</v>
      </c>
      <c r="B483" s="120" t="s">
        <v>658</v>
      </c>
      <c r="C483" s="120" t="s">
        <v>432</v>
      </c>
      <c r="D483" s="120" t="s">
        <v>76</v>
      </c>
      <c r="E483" s="120" t="s">
        <v>84</v>
      </c>
      <c r="F483" s="135">
        <f>F484</f>
        <v>1500</v>
      </c>
      <c r="G483" s="135">
        <f t="shared" si="179"/>
        <v>1480.2439999999999</v>
      </c>
      <c r="H483" s="135">
        <f t="shared" si="179"/>
        <v>1480.2439999999999</v>
      </c>
      <c r="I483" s="121">
        <f t="shared" si="176"/>
        <v>98.682933333333324</v>
      </c>
    </row>
    <row r="484" spans="1:9" s="35" customFormat="1" ht="24">
      <c r="A484" s="119" t="s">
        <v>85</v>
      </c>
      <c r="B484" s="120" t="s">
        <v>658</v>
      </c>
      <c r="C484" s="120" t="s">
        <v>432</v>
      </c>
      <c r="D484" s="120" t="s">
        <v>76</v>
      </c>
      <c r="E484" s="120" t="s">
        <v>86</v>
      </c>
      <c r="F484" s="135">
        <f>500+1000</f>
        <v>1500</v>
      </c>
      <c r="G484" s="135">
        <v>1480.2439999999999</v>
      </c>
      <c r="H484" s="135">
        <v>1480.2439999999999</v>
      </c>
      <c r="I484" s="121">
        <f t="shared" si="176"/>
        <v>98.682933333333324</v>
      </c>
    </row>
    <row r="485" spans="1:9" s="35" customFormat="1" ht="15">
      <c r="A485" s="110" t="s">
        <v>245</v>
      </c>
      <c r="B485" s="125" t="s">
        <v>659</v>
      </c>
      <c r="C485" s="125"/>
      <c r="D485" s="125"/>
      <c r="E485" s="125"/>
      <c r="F485" s="136">
        <f>F486</f>
        <v>4000</v>
      </c>
      <c r="G485" s="136">
        <f t="shared" ref="G485:H488" si="180">G486</f>
        <v>537.42899999999997</v>
      </c>
      <c r="H485" s="136">
        <f t="shared" si="180"/>
        <v>2500</v>
      </c>
      <c r="I485" s="126">
        <f t="shared" si="176"/>
        <v>62.5</v>
      </c>
    </row>
    <row r="486" spans="1:9" s="35" customFormat="1" ht="15">
      <c r="A486" s="51" t="s">
        <v>375</v>
      </c>
      <c r="B486" s="21" t="s">
        <v>659</v>
      </c>
      <c r="C486" s="21" t="s">
        <v>432</v>
      </c>
      <c r="D486" s="21"/>
      <c r="E486" s="21"/>
      <c r="F486" s="87">
        <f>F487</f>
        <v>4000</v>
      </c>
      <c r="G486" s="87">
        <f t="shared" si="180"/>
        <v>537.42899999999997</v>
      </c>
      <c r="H486" s="87">
        <f t="shared" si="180"/>
        <v>2500</v>
      </c>
      <c r="I486" s="112">
        <f t="shared" si="176"/>
        <v>62.5</v>
      </c>
    </row>
    <row r="487" spans="1:9" s="35" customFormat="1" ht="15">
      <c r="A487" s="51" t="s">
        <v>376</v>
      </c>
      <c r="B487" s="21" t="s">
        <v>659</v>
      </c>
      <c r="C487" s="21" t="s">
        <v>432</v>
      </c>
      <c r="D487" s="21" t="s">
        <v>76</v>
      </c>
      <c r="E487" s="21"/>
      <c r="F487" s="87">
        <f>F488</f>
        <v>4000</v>
      </c>
      <c r="G487" s="87">
        <f t="shared" si="180"/>
        <v>537.42899999999997</v>
      </c>
      <c r="H487" s="87">
        <f t="shared" si="180"/>
        <v>2500</v>
      </c>
      <c r="I487" s="112">
        <f t="shared" si="176"/>
        <v>62.5</v>
      </c>
    </row>
    <row r="488" spans="1:9" s="35" customFormat="1" ht="15">
      <c r="A488" s="119" t="s">
        <v>301</v>
      </c>
      <c r="B488" s="120" t="s">
        <v>659</v>
      </c>
      <c r="C488" s="120" t="s">
        <v>432</v>
      </c>
      <c r="D488" s="120" t="s">
        <v>76</v>
      </c>
      <c r="E488" s="120" t="s">
        <v>84</v>
      </c>
      <c r="F488" s="135">
        <f>F489</f>
        <v>4000</v>
      </c>
      <c r="G488" s="135">
        <f t="shared" si="180"/>
        <v>537.42899999999997</v>
      </c>
      <c r="H488" s="135">
        <f t="shared" si="180"/>
        <v>2500</v>
      </c>
      <c r="I488" s="121">
        <f t="shared" si="176"/>
        <v>62.5</v>
      </c>
    </row>
    <row r="489" spans="1:9" s="35" customFormat="1" ht="24">
      <c r="A489" s="119" t="s">
        <v>85</v>
      </c>
      <c r="B489" s="120" t="s">
        <v>659</v>
      </c>
      <c r="C489" s="120" t="s">
        <v>432</v>
      </c>
      <c r="D489" s="120" t="s">
        <v>76</v>
      </c>
      <c r="E489" s="120" t="s">
        <v>86</v>
      </c>
      <c r="F489" s="135">
        <v>4000</v>
      </c>
      <c r="G489" s="135">
        <v>537.42899999999997</v>
      </c>
      <c r="H489" s="135">
        <f>4000-1500</f>
        <v>2500</v>
      </c>
      <c r="I489" s="121">
        <f t="shared" si="176"/>
        <v>62.5</v>
      </c>
    </row>
    <row r="490" spans="1:9" s="35" customFormat="1" ht="24">
      <c r="A490" s="124" t="s">
        <v>653</v>
      </c>
      <c r="B490" s="125" t="s">
        <v>243</v>
      </c>
      <c r="C490" s="125"/>
      <c r="D490" s="125"/>
      <c r="E490" s="125"/>
      <c r="F490" s="126">
        <f>F491</f>
        <v>3530</v>
      </c>
      <c r="G490" s="126">
        <f t="shared" ref="G490:H494" si="181">G491</f>
        <v>2117.64</v>
      </c>
      <c r="H490" s="126">
        <f t="shared" si="181"/>
        <v>3530</v>
      </c>
      <c r="I490" s="126">
        <f t="shared" si="176"/>
        <v>100</v>
      </c>
    </row>
    <row r="491" spans="1:9" s="35" customFormat="1" ht="15">
      <c r="A491" s="189" t="s">
        <v>654</v>
      </c>
      <c r="B491" s="188" t="s">
        <v>655</v>
      </c>
      <c r="C491" s="111"/>
      <c r="D491" s="111"/>
      <c r="E491" s="111"/>
      <c r="F491" s="112">
        <f>F492</f>
        <v>3530</v>
      </c>
      <c r="G491" s="112">
        <f t="shared" si="181"/>
        <v>2117.64</v>
      </c>
      <c r="H491" s="112">
        <f t="shared" si="181"/>
        <v>3530</v>
      </c>
      <c r="I491" s="112">
        <f t="shared" si="176"/>
        <v>100</v>
      </c>
    </row>
    <row r="492" spans="1:9" s="35" customFormat="1" ht="15">
      <c r="A492" s="51" t="s">
        <v>363</v>
      </c>
      <c r="B492" s="188" t="s">
        <v>655</v>
      </c>
      <c r="C492" s="21" t="s">
        <v>78</v>
      </c>
      <c r="D492" s="21"/>
      <c r="E492" s="28"/>
      <c r="F492" s="38">
        <f>F493</f>
        <v>3530</v>
      </c>
      <c r="G492" s="38">
        <f t="shared" si="181"/>
        <v>2117.64</v>
      </c>
      <c r="H492" s="38">
        <f t="shared" si="181"/>
        <v>3530</v>
      </c>
      <c r="I492" s="112">
        <f t="shared" si="176"/>
        <v>100</v>
      </c>
    </row>
    <row r="493" spans="1:9" s="35" customFormat="1" ht="15">
      <c r="A493" s="51" t="s">
        <v>405</v>
      </c>
      <c r="B493" s="188" t="s">
        <v>655</v>
      </c>
      <c r="C493" s="21" t="s">
        <v>78</v>
      </c>
      <c r="D493" s="21" t="s">
        <v>489</v>
      </c>
      <c r="E493" s="28"/>
      <c r="F493" s="38">
        <f>F494</f>
        <v>3530</v>
      </c>
      <c r="G493" s="38">
        <f t="shared" si="181"/>
        <v>2117.64</v>
      </c>
      <c r="H493" s="38">
        <f t="shared" si="181"/>
        <v>3530</v>
      </c>
      <c r="I493" s="112">
        <f t="shared" si="176"/>
        <v>100</v>
      </c>
    </row>
    <row r="494" spans="1:9" s="35" customFormat="1" ht="15">
      <c r="A494" s="119" t="s">
        <v>301</v>
      </c>
      <c r="B494" s="120" t="s">
        <v>655</v>
      </c>
      <c r="C494" s="120" t="s">
        <v>78</v>
      </c>
      <c r="D494" s="120" t="s">
        <v>489</v>
      </c>
      <c r="E494" s="120" t="s">
        <v>84</v>
      </c>
      <c r="F494" s="121">
        <f>F495</f>
        <v>3530</v>
      </c>
      <c r="G494" s="121">
        <f t="shared" si="181"/>
        <v>2117.64</v>
      </c>
      <c r="H494" s="121">
        <f t="shared" si="181"/>
        <v>3530</v>
      </c>
      <c r="I494" s="121">
        <f t="shared" si="176"/>
        <v>100</v>
      </c>
    </row>
    <row r="495" spans="1:9" s="35" customFormat="1" ht="24">
      <c r="A495" s="119" t="s">
        <v>85</v>
      </c>
      <c r="B495" s="120" t="s">
        <v>655</v>
      </c>
      <c r="C495" s="120" t="s">
        <v>78</v>
      </c>
      <c r="D495" s="120" t="s">
        <v>489</v>
      </c>
      <c r="E495" s="120" t="s">
        <v>86</v>
      </c>
      <c r="F495" s="121">
        <f>5000-370-1100</f>
        <v>3530</v>
      </c>
      <c r="G495" s="121">
        <v>2117.64</v>
      </c>
      <c r="H495" s="121">
        <f>5000-370-1100</f>
        <v>3530</v>
      </c>
      <c r="I495" s="121">
        <f t="shared" si="176"/>
        <v>100</v>
      </c>
    </row>
    <row r="496" spans="1:9" s="35" customFormat="1" ht="24">
      <c r="A496" s="124" t="s">
        <v>125</v>
      </c>
      <c r="B496" s="125" t="s">
        <v>247</v>
      </c>
      <c r="C496" s="125"/>
      <c r="D496" s="125"/>
      <c r="E496" s="125"/>
      <c r="F496" s="126">
        <f>F497+F504</f>
        <v>16100</v>
      </c>
      <c r="G496" s="126">
        <f t="shared" ref="G496:H496" si="182">G497+G504</f>
        <v>14842.82603</v>
      </c>
      <c r="H496" s="126">
        <f t="shared" si="182"/>
        <v>16100</v>
      </c>
      <c r="I496" s="126">
        <f t="shared" si="176"/>
        <v>100</v>
      </c>
    </row>
    <row r="497" spans="1:9" s="35" customFormat="1" ht="24">
      <c r="A497" s="110" t="s">
        <v>660</v>
      </c>
      <c r="B497" s="111" t="s">
        <v>661</v>
      </c>
      <c r="C497" s="111"/>
      <c r="D497" s="111"/>
      <c r="E497" s="120"/>
      <c r="F497" s="134">
        <f>F498</f>
        <v>14100</v>
      </c>
      <c r="G497" s="134">
        <f t="shared" ref="G497:H498" si="183">G498</f>
        <v>13013.546130000001</v>
      </c>
      <c r="H497" s="134">
        <f t="shared" si="183"/>
        <v>14100</v>
      </c>
      <c r="I497" s="112">
        <f t="shared" si="176"/>
        <v>100</v>
      </c>
    </row>
    <row r="498" spans="1:9" s="35" customFormat="1" ht="15">
      <c r="A498" s="51" t="s">
        <v>375</v>
      </c>
      <c r="B498" s="111" t="s">
        <v>661</v>
      </c>
      <c r="C498" s="21" t="s">
        <v>432</v>
      </c>
      <c r="D498" s="28"/>
      <c r="E498" s="28"/>
      <c r="F498" s="87">
        <f>F499</f>
        <v>14100</v>
      </c>
      <c r="G498" s="87">
        <f t="shared" si="183"/>
        <v>13013.546130000001</v>
      </c>
      <c r="H498" s="87">
        <f t="shared" si="183"/>
        <v>14100</v>
      </c>
      <c r="I498" s="112">
        <f t="shared" si="176"/>
        <v>100</v>
      </c>
    </row>
    <row r="499" spans="1:9" s="35" customFormat="1" ht="15">
      <c r="A499" s="51" t="s">
        <v>377</v>
      </c>
      <c r="B499" s="111" t="s">
        <v>661</v>
      </c>
      <c r="C499" s="21" t="s">
        <v>432</v>
      </c>
      <c r="D499" s="21" t="s">
        <v>491</v>
      </c>
      <c r="E499" s="28"/>
      <c r="F499" s="87">
        <f>F500+F502</f>
        <v>14100</v>
      </c>
      <c r="G499" s="87">
        <f t="shared" ref="G499:H499" si="184">G500+G502</f>
        <v>13013.546130000001</v>
      </c>
      <c r="H499" s="87">
        <f t="shared" si="184"/>
        <v>14100</v>
      </c>
      <c r="I499" s="112">
        <f t="shared" si="176"/>
        <v>100</v>
      </c>
    </row>
    <row r="500" spans="1:9" s="35" customFormat="1" ht="15">
      <c r="A500" s="119" t="s">
        <v>301</v>
      </c>
      <c r="B500" s="120" t="s">
        <v>661</v>
      </c>
      <c r="C500" s="138" t="s">
        <v>432</v>
      </c>
      <c r="D500" s="138" t="s">
        <v>491</v>
      </c>
      <c r="E500" s="120" t="s">
        <v>84</v>
      </c>
      <c r="F500" s="88">
        <f>F501</f>
        <v>3760</v>
      </c>
      <c r="G500" s="88">
        <f t="shared" ref="G500:H500" si="185">G501</f>
        <v>2974.2885299999998</v>
      </c>
      <c r="H500" s="88">
        <f t="shared" si="185"/>
        <v>3760</v>
      </c>
      <c r="I500" s="121">
        <f t="shared" si="176"/>
        <v>100</v>
      </c>
    </row>
    <row r="501" spans="1:9" s="35" customFormat="1" ht="24">
      <c r="A501" s="119" t="s">
        <v>85</v>
      </c>
      <c r="B501" s="120" t="s">
        <v>661</v>
      </c>
      <c r="C501" s="120" t="s">
        <v>432</v>
      </c>
      <c r="D501" s="120" t="s">
        <v>491</v>
      </c>
      <c r="E501" s="120" t="s">
        <v>86</v>
      </c>
      <c r="F501" s="88">
        <v>3760</v>
      </c>
      <c r="G501" s="88">
        <v>2974.2885299999998</v>
      </c>
      <c r="H501" s="88">
        <v>3760</v>
      </c>
      <c r="I501" s="121">
        <f t="shared" si="176"/>
        <v>100</v>
      </c>
    </row>
    <row r="502" spans="1:9" s="35" customFormat="1" ht="24">
      <c r="A502" s="119" t="s">
        <v>433</v>
      </c>
      <c r="B502" s="120" t="s">
        <v>661</v>
      </c>
      <c r="C502" s="138" t="s">
        <v>432</v>
      </c>
      <c r="D502" s="138" t="s">
        <v>491</v>
      </c>
      <c r="E502" s="120" t="s">
        <v>434</v>
      </c>
      <c r="F502" s="135">
        <f>F503</f>
        <v>10340</v>
      </c>
      <c r="G502" s="135">
        <f t="shared" ref="G502:H502" si="186">G503</f>
        <v>10039.257600000001</v>
      </c>
      <c r="H502" s="135">
        <f t="shared" si="186"/>
        <v>10340</v>
      </c>
      <c r="I502" s="121">
        <f t="shared" si="176"/>
        <v>100</v>
      </c>
    </row>
    <row r="503" spans="1:9" s="35" customFormat="1" ht="15">
      <c r="A503" s="119" t="s">
        <v>435</v>
      </c>
      <c r="B503" s="120" t="s">
        <v>661</v>
      </c>
      <c r="C503" s="120" t="s">
        <v>432</v>
      </c>
      <c r="D503" s="120" t="s">
        <v>491</v>
      </c>
      <c r="E503" s="120" t="s">
        <v>436</v>
      </c>
      <c r="F503" s="135">
        <f>14100-3760</f>
        <v>10340</v>
      </c>
      <c r="G503" s="135">
        <v>10039.257600000001</v>
      </c>
      <c r="H503" s="135">
        <f>14100-3760</f>
        <v>10340</v>
      </c>
      <c r="I503" s="121">
        <f t="shared" si="176"/>
        <v>100</v>
      </c>
    </row>
    <row r="504" spans="1:9" s="35" customFormat="1" ht="15">
      <c r="A504" s="110" t="s">
        <v>695</v>
      </c>
      <c r="B504" s="111" t="s">
        <v>662</v>
      </c>
      <c r="C504" s="111"/>
      <c r="D504" s="111"/>
      <c r="E504" s="111"/>
      <c r="F504" s="134">
        <f>F505</f>
        <v>2000</v>
      </c>
      <c r="G504" s="134">
        <f t="shared" ref="G504:H507" si="187">G505</f>
        <v>1829.2799</v>
      </c>
      <c r="H504" s="134">
        <f t="shared" si="187"/>
        <v>2000</v>
      </c>
      <c r="I504" s="112">
        <f t="shared" si="176"/>
        <v>100</v>
      </c>
    </row>
    <row r="505" spans="1:9" s="35" customFormat="1" ht="15">
      <c r="A505" s="51" t="s">
        <v>375</v>
      </c>
      <c r="B505" s="111" t="s">
        <v>662</v>
      </c>
      <c r="C505" s="21" t="s">
        <v>432</v>
      </c>
      <c r="D505" s="28"/>
      <c r="E505" s="28"/>
      <c r="F505" s="87">
        <f>F506</f>
        <v>2000</v>
      </c>
      <c r="G505" s="87">
        <f t="shared" si="187"/>
        <v>1829.2799</v>
      </c>
      <c r="H505" s="87">
        <f t="shared" si="187"/>
        <v>2000</v>
      </c>
      <c r="I505" s="112">
        <f t="shared" si="176"/>
        <v>100</v>
      </c>
    </row>
    <row r="506" spans="1:9" s="35" customFormat="1" ht="15">
      <c r="A506" s="51" t="s">
        <v>377</v>
      </c>
      <c r="B506" s="111" t="s">
        <v>662</v>
      </c>
      <c r="C506" s="21" t="s">
        <v>432</v>
      </c>
      <c r="D506" s="21" t="s">
        <v>491</v>
      </c>
      <c r="E506" s="28"/>
      <c r="F506" s="87">
        <f>F507</f>
        <v>2000</v>
      </c>
      <c r="G506" s="87">
        <f t="shared" si="187"/>
        <v>1829.2799</v>
      </c>
      <c r="H506" s="87">
        <f t="shared" si="187"/>
        <v>2000</v>
      </c>
      <c r="I506" s="112">
        <f t="shared" si="176"/>
        <v>100</v>
      </c>
    </row>
    <row r="507" spans="1:9" s="35" customFormat="1" ht="15">
      <c r="A507" s="119" t="s">
        <v>301</v>
      </c>
      <c r="B507" s="120" t="s">
        <v>662</v>
      </c>
      <c r="C507" s="120" t="s">
        <v>432</v>
      </c>
      <c r="D507" s="120" t="s">
        <v>491</v>
      </c>
      <c r="E507" s="120" t="s">
        <v>84</v>
      </c>
      <c r="F507" s="135">
        <f>F508</f>
        <v>2000</v>
      </c>
      <c r="G507" s="135">
        <f t="shared" si="187"/>
        <v>1829.2799</v>
      </c>
      <c r="H507" s="135">
        <f t="shared" si="187"/>
        <v>2000</v>
      </c>
      <c r="I507" s="121">
        <f t="shared" si="176"/>
        <v>100</v>
      </c>
    </row>
    <row r="508" spans="1:9" s="35" customFormat="1" ht="24">
      <c r="A508" s="119" t="s">
        <v>85</v>
      </c>
      <c r="B508" s="120" t="s">
        <v>662</v>
      </c>
      <c r="C508" s="120" t="s">
        <v>432</v>
      </c>
      <c r="D508" s="120" t="s">
        <v>491</v>
      </c>
      <c r="E508" s="120" t="s">
        <v>86</v>
      </c>
      <c r="F508" s="135">
        <f>1000+1000</f>
        <v>2000</v>
      </c>
      <c r="G508" s="135">
        <v>1829.2799</v>
      </c>
      <c r="H508" s="135">
        <f>1000+1000</f>
        <v>2000</v>
      </c>
      <c r="I508" s="121">
        <f t="shared" si="176"/>
        <v>100</v>
      </c>
    </row>
    <row r="509" spans="1:9" s="35" customFormat="1" ht="24">
      <c r="A509" s="124" t="s">
        <v>651</v>
      </c>
      <c r="B509" s="125" t="s">
        <v>152</v>
      </c>
      <c r="C509" s="125"/>
      <c r="D509" s="125"/>
      <c r="E509" s="125"/>
      <c r="F509" s="126">
        <f>F510</f>
        <v>59930</v>
      </c>
      <c r="G509" s="126">
        <f t="shared" ref="G509:H511" si="188">G510</f>
        <v>17666.168269999998</v>
      </c>
      <c r="H509" s="126">
        <f t="shared" si="188"/>
        <v>21930</v>
      </c>
      <c r="I509" s="126">
        <f t="shared" si="176"/>
        <v>36.592691473385621</v>
      </c>
    </row>
    <row r="510" spans="1:9" s="35" customFormat="1" ht="24">
      <c r="A510" s="110" t="s">
        <v>652</v>
      </c>
      <c r="B510" s="111" t="s">
        <v>663</v>
      </c>
      <c r="C510" s="111"/>
      <c r="D510" s="111"/>
      <c r="E510" s="120"/>
      <c r="F510" s="112">
        <f>F511</f>
        <v>59930</v>
      </c>
      <c r="G510" s="112">
        <f t="shared" si="188"/>
        <v>17666.168269999998</v>
      </c>
      <c r="H510" s="112">
        <f t="shared" si="188"/>
        <v>21930</v>
      </c>
      <c r="I510" s="112">
        <f t="shared" si="176"/>
        <v>36.592691473385621</v>
      </c>
    </row>
    <row r="511" spans="1:9" s="35" customFormat="1" ht="15">
      <c r="A511" s="51" t="s">
        <v>375</v>
      </c>
      <c r="B511" s="111" t="s">
        <v>663</v>
      </c>
      <c r="C511" s="21" t="s">
        <v>432</v>
      </c>
      <c r="D511" s="28"/>
      <c r="E511" s="120"/>
      <c r="F511" s="112">
        <f>F512</f>
        <v>59930</v>
      </c>
      <c r="G511" s="112">
        <f t="shared" si="188"/>
        <v>17666.168269999998</v>
      </c>
      <c r="H511" s="112">
        <f t="shared" si="188"/>
        <v>21930</v>
      </c>
      <c r="I511" s="112">
        <f t="shared" si="176"/>
        <v>36.592691473385621</v>
      </c>
    </row>
    <row r="512" spans="1:9" s="35" customFormat="1" ht="15">
      <c r="A512" s="51" t="s">
        <v>377</v>
      </c>
      <c r="B512" s="111" t="s">
        <v>663</v>
      </c>
      <c r="C512" s="21" t="s">
        <v>432</v>
      </c>
      <c r="D512" s="21" t="s">
        <v>491</v>
      </c>
      <c r="E512" s="120"/>
      <c r="F512" s="112">
        <f>F513+F515</f>
        <v>59930</v>
      </c>
      <c r="G512" s="112">
        <f t="shared" ref="G512:H512" si="189">G513+G515</f>
        <v>17666.168269999998</v>
      </c>
      <c r="H512" s="112">
        <f t="shared" si="189"/>
        <v>21930</v>
      </c>
      <c r="I512" s="112">
        <f t="shared" si="176"/>
        <v>36.592691473385621</v>
      </c>
    </row>
    <row r="513" spans="1:9" s="35" customFormat="1" ht="15">
      <c r="A513" s="119" t="s">
        <v>301</v>
      </c>
      <c r="B513" s="120" t="s">
        <v>663</v>
      </c>
      <c r="C513" s="120" t="s">
        <v>432</v>
      </c>
      <c r="D513" s="120" t="s">
        <v>491</v>
      </c>
      <c r="E513" s="120" t="s">
        <v>84</v>
      </c>
      <c r="F513" s="121">
        <f>F514</f>
        <v>40300</v>
      </c>
      <c r="G513" s="121">
        <f t="shared" ref="G513:H513" si="190">G514</f>
        <v>17176.976999999999</v>
      </c>
      <c r="H513" s="121">
        <f t="shared" si="190"/>
        <v>20300</v>
      </c>
      <c r="I513" s="121">
        <f t="shared" si="176"/>
        <v>50.372208436724563</v>
      </c>
    </row>
    <row r="514" spans="1:9" s="35" customFormat="1" ht="24">
      <c r="A514" s="119" t="s">
        <v>85</v>
      </c>
      <c r="B514" s="120" t="s">
        <v>663</v>
      </c>
      <c r="C514" s="120" t="s">
        <v>432</v>
      </c>
      <c r="D514" s="120" t="s">
        <v>491</v>
      </c>
      <c r="E514" s="120" t="s">
        <v>86</v>
      </c>
      <c r="F514" s="121">
        <f>2000+21000+1000+100+1000+5500+9700</f>
        <v>40300</v>
      </c>
      <c r="G514" s="121">
        <v>17176.976999999999</v>
      </c>
      <c r="H514" s="121">
        <f>2000+21000+1000+100+1000+5500+9700-20000</f>
        <v>20300</v>
      </c>
      <c r="I514" s="121">
        <f t="shared" si="176"/>
        <v>50.372208436724563</v>
      </c>
    </row>
    <row r="515" spans="1:9" s="35" customFormat="1" ht="24">
      <c r="A515" s="119" t="s">
        <v>433</v>
      </c>
      <c r="B515" s="120" t="s">
        <v>663</v>
      </c>
      <c r="C515" s="138" t="s">
        <v>432</v>
      </c>
      <c r="D515" s="138" t="s">
        <v>491</v>
      </c>
      <c r="E515" s="120" t="s">
        <v>434</v>
      </c>
      <c r="F515" s="121">
        <f>F516</f>
        <v>19630</v>
      </c>
      <c r="G515" s="121">
        <f t="shared" ref="G515:H515" si="191">G516</f>
        <v>489.19126999999997</v>
      </c>
      <c r="H515" s="121">
        <f t="shared" si="191"/>
        <v>1630</v>
      </c>
      <c r="I515" s="121">
        <f t="shared" si="176"/>
        <v>8.303616912888435</v>
      </c>
    </row>
    <row r="516" spans="1:9" s="35" customFormat="1" ht="15">
      <c r="A516" s="119" t="s">
        <v>435</v>
      </c>
      <c r="B516" s="120" t="s">
        <v>663</v>
      </c>
      <c r="C516" s="120" t="s">
        <v>432</v>
      </c>
      <c r="D516" s="120" t="s">
        <v>491</v>
      </c>
      <c r="E516" s="120" t="s">
        <v>436</v>
      </c>
      <c r="F516" s="121">
        <f>44930-1000-5500-9700-9100</f>
        <v>19630</v>
      </c>
      <c r="G516" s="121">
        <v>489.19126999999997</v>
      </c>
      <c r="H516" s="121">
        <f>44930-1000-5500-9700-9100-18000</f>
        <v>1630</v>
      </c>
      <c r="I516" s="121">
        <f t="shared" si="176"/>
        <v>8.303616912888435</v>
      </c>
    </row>
    <row r="517" spans="1:9" s="35" customFormat="1" ht="15">
      <c r="A517" s="124" t="s">
        <v>504</v>
      </c>
      <c r="B517" s="125" t="s">
        <v>505</v>
      </c>
      <c r="C517" s="125"/>
      <c r="D517" s="125"/>
      <c r="E517" s="125"/>
      <c r="F517" s="126">
        <f>F518+F523+F528</f>
        <v>17400</v>
      </c>
      <c r="G517" s="136">
        <f t="shared" ref="G517:H517" si="192">G518+G523+G528</f>
        <v>4146.6469999999999</v>
      </c>
      <c r="H517" s="126">
        <f t="shared" si="192"/>
        <v>15400</v>
      </c>
      <c r="I517" s="126">
        <f t="shared" si="176"/>
        <v>88.505747126436788</v>
      </c>
    </row>
    <row r="518" spans="1:9" s="35" customFormat="1" ht="36">
      <c r="A518" s="110" t="s">
        <v>664</v>
      </c>
      <c r="B518" s="111" t="s">
        <v>665</v>
      </c>
      <c r="C518" s="111"/>
      <c r="D518" s="111"/>
      <c r="E518" s="111"/>
      <c r="F518" s="112">
        <f>F519</f>
        <v>700</v>
      </c>
      <c r="G518" s="134">
        <f t="shared" ref="G518:H521" si="193">G519</f>
        <v>0</v>
      </c>
      <c r="H518" s="112">
        <f t="shared" si="193"/>
        <v>700</v>
      </c>
      <c r="I518" s="112">
        <f t="shared" si="176"/>
        <v>100</v>
      </c>
    </row>
    <row r="519" spans="1:9" s="35" customFormat="1" ht="15">
      <c r="A519" s="51" t="s">
        <v>375</v>
      </c>
      <c r="B519" s="111" t="s">
        <v>665</v>
      </c>
      <c r="C519" s="21" t="s">
        <v>432</v>
      </c>
      <c r="D519" s="21"/>
      <c r="E519" s="111"/>
      <c r="F519" s="112">
        <f>F520</f>
        <v>700</v>
      </c>
      <c r="G519" s="134">
        <f t="shared" si="193"/>
        <v>0</v>
      </c>
      <c r="H519" s="112">
        <f t="shared" si="193"/>
        <v>700</v>
      </c>
      <c r="I519" s="112">
        <f t="shared" si="176"/>
        <v>100</v>
      </c>
    </row>
    <row r="520" spans="1:9" s="35" customFormat="1" ht="15">
      <c r="A520" s="51" t="s">
        <v>376</v>
      </c>
      <c r="B520" s="111" t="s">
        <v>665</v>
      </c>
      <c r="C520" s="21" t="s">
        <v>432</v>
      </c>
      <c r="D520" s="21" t="s">
        <v>76</v>
      </c>
      <c r="E520" s="111"/>
      <c r="F520" s="112">
        <f>F521</f>
        <v>700</v>
      </c>
      <c r="G520" s="134">
        <f t="shared" si="193"/>
        <v>0</v>
      </c>
      <c r="H520" s="112">
        <f t="shared" si="193"/>
        <v>700</v>
      </c>
      <c r="I520" s="112">
        <f t="shared" si="176"/>
        <v>100</v>
      </c>
    </row>
    <row r="521" spans="1:9" s="35" customFormat="1" ht="15">
      <c r="A521" s="119" t="s">
        <v>301</v>
      </c>
      <c r="B521" s="120" t="s">
        <v>665</v>
      </c>
      <c r="C521" s="120" t="s">
        <v>432</v>
      </c>
      <c r="D521" s="120" t="s">
        <v>76</v>
      </c>
      <c r="E521" s="120" t="s">
        <v>84</v>
      </c>
      <c r="F521" s="121">
        <f>F522</f>
        <v>700</v>
      </c>
      <c r="G521" s="135">
        <f t="shared" si="193"/>
        <v>0</v>
      </c>
      <c r="H521" s="121">
        <f t="shared" si="193"/>
        <v>700</v>
      </c>
      <c r="I521" s="121">
        <f t="shared" si="176"/>
        <v>100</v>
      </c>
    </row>
    <row r="522" spans="1:9" s="35" customFormat="1" ht="24">
      <c r="A522" s="119" t="s">
        <v>85</v>
      </c>
      <c r="B522" s="120" t="s">
        <v>665</v>
      </c>
      <c r="C522" s="120" t="s">
        <v>432</v>
      </c>
      <c r="D522" s="120" t="s">
        <v>76</v>
      </c>
      <c r="E522" s="120" t="s">
        <v>86</v>
      </c>
      <c r="F522" s="121">
        <f>1000-300</f>
        <v>700</v>
      </c>
      <c r="G522" s="135">
        <v>0</v>
      </c>
      <c r="H522" s="121">
        <f>1000-300</f>
        <v>700</v>
      </c>
      <c r="I522" s="121">
        <f t="shared" si="176"/>
        <v>100</v>
      </c>
    </row>
    <row r="523" spans="1:9" s="35" customFormat="1" ht="36">
      <c r="A523" s="190" t="s">
        <v>506</v>
      </c>
      <c r="B523" s="111" t="s">
        <v>666</v>
      </c>
      <c r="C523" s="111"/>
      <c r="D523" s="111"/>
      <c r="E523" s="111"/>
      <c r="F523" s="112">
        <f>F524</f>
        <v>600</v>
      </c>
      <c r="G523" s="112">
        <f t="shared" ref="G523:H526" si="194">G524</f>
        <v>300</v>
      </c>
      <c r="H523" s="112">
        <f t="shared" si="194"/>
        <v>600</v>
      </c>
      <c r="I523" s="112">
        <f t="shared" si="176"/>
        <v>100</v>
      </c>
    </row>
    <row r="524" spans="1:9" s="35" customFormat="1" ht="15">
      <c r="A524" s="51" t="s">
        <v>375</v>
      </c>
      <c r="B524" s="111" t="s">
        <v>666</v>
      </c>
      <c r="C524" s="21" t="s">
        <v>432</v>
      </c>
      <c r="D524" s="21"/>
      <c r="E524" s="111"/>
      <c r="F524" s="112">
        <f>F525</f>
        <v>600</v>
      </c>
      <c r="G524" s="112">
        <f t="shared" si="194"/>
        <v>300</v>
      </c>
      <c r="H524" s="112">
        <f t="shared" si="194"/>
        <v>600</v>
      </c>
      <c r="I524" s="112">
        <f t="shared" si="176"/>
        <v>100</v>
      </c>
    </row>
    <row r="525" spans="1:9" s="35" customFormat="1" ht="15">
      <c r="A525" s="51" t="s">
        <v>376</v>
      </c>
      <c r="B525" s="111" t="s">
        <v>666</v>
      </c>
      <c r="C525" s="21" t="s">
        <v>432</v>
      </c>
      <c r="D525" s="21" t="s">
        <v>76</v>
      </c>
      <c r="E525" s="111"/>
      <c r="F525" s="112">
        <f>F526</f>
        <v>600</v>
      </c>
      <c r="G525" s="112">
        <f t="shared" si="194"/>
        <v>300</v>
      </c>
      <c r="H525" s="112">
        <f t="shared" si="194"/>
        <v>600</v>
      </c>
      <c r="I525" s="112">
        <f t="shared" si="176"/>
        <v>100</v>
      </c>
    </row>
    <row r="526" spans="1:9" s="35" customFormat="1" ht="15">
      <c r="A526" s="119" t="s">
        <v>301</v>
      </c>
      <c r="B526" s="120" t="s">
        <v>666</v>
      </c>
      <c r="C526" s="120" t="s">
        <v>432</v>
      </c>
      <c r="D526" s="120" t="s">
        <v>76</v>
      </c>
      <c r="E526" s="120" t="s">
        <v>84</v>
      </c>
      <c r="F526" s="121">
        <f>F527</f>
        <v>600</v>
      </c>
      <c r="G526" s="121">
        <f t="shared" si="194"/>
        <v>300</v>
      </c>
      <c r="H526" s="121">
        <f t="shared" si="194"/>
        <v>600</v>
      </c>
      <c r="I526" s="121">
        <f t="shared" si="176"/>
        <v>100</v>
      </c>
    </row>
    <row r="527" spans="1:9" s="35" customFormat="1" ht="24">
      <c r="A527" s="119" t="s">
        <v>85</v>
      </c>
      <c r="B527" s="120" t="s">
        <v>666</v>
      </c>
      <c r="C527" s="120" t="s">
        <v>432</v>
      </c>
      <c r="D527" s="120" t="s">
        <v>76</v>
      </c>
      <c r="E527" s="120" t="s">
        <v>86</v>
      </c>
      <c r="F527" s="121">
        <f>300+300</f>
        <v>600</v>
      </c>
      <c r="G527" s="121">
        <v>300</v>
      </c>
      <c r="H527" s="121">
        <f>300+300</f>
        <v>600</v>
      </c>
      <c r="I527" s="121">
        <f t="shared" si="176"/>
        <v>100</v>
      </c>
    </row>
    <row r="528" spans="1:9" s="35" customFormat="1" ht="15">
      <c r="A528" s="141" t="s">
        <v>246</v>
      </c>
      <c r="B528" s="188" t="s">
        <v>667</v>
      </c>
      <c r="C528" s="111"/>
      <c r="D528" s="111"/>
      <c r="E528" s="111"/>
      <c r="F528" s="112">
        <f>F529</f>
        <v>16100</v>
      </c>
      <c r="G528" s="112">
        <f t="shared" ref="G528:H531" si="195">G529</f>
        <v>3846.6469999999999</v>
      </c>
      <c r="H528" s="112">
        <f t="shared" si="195"/>
        <v>14100</v>
      </c>
      <c r="I528" s="112">
        <f t="shared" si="176"/>
        <v>87.577639751552795</v>
      </c>
    </row>
    <row r="529" spans="1:9" s="35" customFormat="1" ht="15">
      <c r="A529" s="51" t="s">
        <v>375</v>
      </c>
      <c r="B529" s="188" t="s">
        <v>667</v>
      </c>
      <c r="C529" s="21" t="s">
        <v>432</v>
      </c>
      <c r="D529" s="21"/>
      <c r="E529" s="111"/>
      <c r="F529" s="112">
        <f>F530</f>
        <v>16100</v>
      </c>
      <c r="G529" s="112">
        <f t="shared" si="195"/>
        <v>3846.6469999999999</v>
      </c>
      <c r="H529" s="112">
        <f t="shared" si="195"/>
        <v>14100</v>
      </c>
      <c r="I529" s="112">
        <f t="shared" si="176"/>
        <v>87.577639751552795</v>
      </c>
    </row>
    <row r="530" spans="1:9" s="35" customFormat="1" ht="15">
      <c r="A530" s="51" t="s">
        <v>376</v>
      </c>
      <c r="B530" s="188" t="s">
        <v>667</v>
      </c>
      <c r="C530" s="21" t="s">
        <v>432</v>
      </c>
      <c r="D530" s="21" t="s">
        <v>76</v>
      </c>
      <c r="E530" s="111"/>
      <c r="F530" s="112">
        <f>F531</f>
        <v>16100</v>
      </c>
      <c r="G530" s="112">
        <f t="shared" si="195"/>
        <v>3846.6469999999999</v>
      </c>
      <c r="H530" s="112">
        <f t="shared" si="195"/>
        <v>14100</v>
      </c>
      <c r="I530" s="112">
        <f t="shared" si="176"/>
        <v>87.577639751552795</v>
      </c>
    </row>
    <row r="531" spans="1:9" s="35" customFormat="1" ht="15">
      <c r="A531" s="119" t="s">
        <v>301</v>
      </c>
      <c r="B531" s="120" t="s">
        <v>667</v>
      </c>
      <c r="C531" s="120" t="s">
        <v>432</v>
      </c>
      <c r="D531" s="120" t="s">
        <v>76</v>
      </c>
      <c r="E531" s="120" t="s">
        <v>84</v>
      </c>
      <c r="F531" s="121">
        <f>F532</f>
        <v>16100</v>
      </c>
      <c r="G531" s="121">
        <f t="shared" si="195"/>
        <v>3846.6469999999999</v>
      </c>
      <c r="H531" s="121">
        <f t="shared" si="195"/>
        <v>14100</v>
      </c>
      <c r="I531" s="121">
        <f t="shared" si="176"/>
        <v>87.577639751552795</v>
      </c>
    </row>
    <row r="532" spans="1:9" s="35" customFormat="1" ht="24">
      <c r="A532" s="119" t="s">
        <v>85</v>
      </c>
      <c r="B532" s="120" t="s">
        <v>667</v>
      </c>
      <c r="C532" s="120" t="s">
        <v>432</v>
      </c>
      <c r="D532" s="120" t="s">
        <v>76</v>
      </c>
      <c r="E532" s="120" t="s">
        <v>86</v>
      </c>
      <c r="F532" s="121">
        <f>7000+9100</f>
        <v>16100</v>
      </c>
      <c r="G532" s="121">
        <v>3846.6469999999999</v>
      </c>
      <c r="H532" s="121">
        <f>7000+9100-2000</f>
        <v>14100</v>
      </c>
      <c r="I532" s="121">
        <f t="shared" si="176"/>
        <v>87.577639751552795</v>
      </c>
    </row>
    <row r="533" spans="1:9" s="35" customFormat="1" ht="24">
      <c r="A533" s="124" t="s">
        <v>153</v>
      </c>
      <c r="B533" s="125" t="s">
        <v>668</v>
      </c>
      <c r="C533" s="125"/>
      <c r="D533" s="125"/>
      <c r="E533" s="125"/>
      <c r="F533" s="126">
        <f>F534</f>
        <v>1200</v>
      </c>
      <c r="G533" s="136">
        <f t="shared" ref="G533:H536" si="196">G534</f>
        <v>0</v>
      </c>
      <c r="H533" s="126">
        <f t="shared" si="196"/>
        <v>700</v>
      </c>
      <c r="I533" s="126">
        <f t="shared" si="176"/>
        <v>58.333333333333336</v>
      </c>
    </row>
    <row r="534" spans="1:9" s="35" customFormat="1" ht="15">
      <c r="A534" s="51" t="s">
        <v>375</v>
      </c>
      <c r="B534" s="111" t="s">
        <v>668</v>
      </c>
      <c r="C534" s="21" t="s">
        <v>432</v>
      </c>
      <c r="D534" s="28"/>
      <c r="E534" s="125"/>
      <c r="F534" s="112">
        <f>F535</f>
        <v>1200</v>
      </c>
      <c r="G534" s="134">
        <f t="shared" si="196"/>
        <v>0</v>
      </c>
      <c r="H534" s="112">
        <f t="shared" si="196"/>
        <v>700</v>
      </c>
      <c r="I534" s="112">
        <f t="shared" si="176"/>
        <v>58.333333333333336</v>
      </c>
    </row>
    <row r="535" spans="1:9" s="35" customFormat="1" ht="15">
      <c r="A535" s="51" t="s">
        <v>377</v>
      </c>
      <c r="B535" s="111" t="s">
        <v>668</v>
      </c>
      <c r="C535" s="21" t="s">
        <v>432</v>
      </c>
      <c r="D535" s="21" t="s">
        <v>491</v>
      </c>
      <c r="E535" s="125"/>
      <c r="F535" s="112">
        <f>F536</f>
        <v>1200</v>
      </c>
      <c r="G535" s="134">
        <f t="shared" si="196"/>
        <v>0</v>
      </c>
      <c r="H535" s="112">
        <f t="shared" si="196"/>
        <v>700</v>
      </c>
      <c r="I535" s="112">
        <f t="shared" si="176"/>
        <v>58.333333333333336</v>
      </c>
    </row>
    <row r="536" spans="1:9" s="35" customFormat="1" ht="15">
      <c r="A536" s="119" t="s">
        <v>301</v>
      </c>
      <c r="B536" s="120" t="s">
        <v>668</v>
      </c>
      <c r="C536" s="120" t="s">
        <v>432</v>
      </c>
      <c r="D536" s="120" t="s">
        <v>491</v>
      </c>
      <c r="E536" s="120" t="s">
        <v>84</v>
      </c>
      <c r="F536" s="121">
        <f>F537</f>
        <v>1200</v>
      </c>
      <c r="G536" s="135">
        <f t="shared" si="196"/>
        <v>0</v>
      </c>
      <c r="H536" s="121">
        <f t="shared" si="196"/>
        <v>700</v>
      </c>
      <c r="I536" s="121">
        <f t="shared" si="176"/>
        <v>58.333333333333336</v>
      </c>
    </row>
    <row r="537" spans="1:9" s="35" customFormat="1" ht="24">
      <c r="A537" s="119" t="s">
        <v>85</v>
      </c>
      <c r="B537" s="120" t="s">
        <v>668</v>
      </c>
      <c r="C537" s="120" t="s">
        <v>432</v>
      </c>
      <c r="D537" s="120" t="s">
        <v>491</v>
      </c>
      <c r="E537" s="120" t="s">
        <v>86</v>
      </c>
      <c r="F537" s="121">
        <v>1200</v>
      </c>
      <c r="G537" s="135">
        <v>0</v>
      </c>
      <c r="H537" s="121">
        <f>1200-500</f>
        <v>700</v>
      </c>
      <c r="I537" s="121">
        <f t="shared" si="176"/>
        <v>58.333333333333336</v>
      </c>
    </row>
    <row r="538" spans="1:9" s="35" customFormat="1" ht="24">
      <c r="A538" s="124" t="s">
        <v>151</v>
      </c>
      <c r="B538" s="125" t="s">
        <v>126</v>
      </c>
      <c r="C538" s="125"/>
      <c r="D538" s="125"/>
      <c r="E538" s="125"/>
      <c r="F538" s="126">
        <f>F549+F554+F559+F569+F574+F579+F584+F589+F539+F544</f>
        <v>208199.30971999999</v>
      </c>
      <c r="G538" s="126">
        <f t="shared" ref="G538:H538" si="197">G549+G554+G559+G569+G574+G579+G584+G589+G539+G544</f>
        <v>134212.31691999998</v>
      </c>
      <c r="H538" s="126">
        <f t="shared" si="197"/>
        <v>191199.30971999999</v>
      </c>
      <c r="I538" s="126">
        <f t="shared" ref="I538:I601" si="198">H538/F538*100</f>
        <v>91.834747183906273</v>
      </c>
    </row>
    <row r="539" spans="1:9" s="35" customFormat="1" ht="72">
      <c r="A539" s="221" t="s">
        <v>749</v>
      </c>
      <c r="B539" s="22" t="s">
        <v>762</v>
      </c>
      <c r="C539" s="22"/>
      <c r="D539" s="22"/>
      <c r="E539" s="22"/>
      <c r="F539" s="40">
        <f>F540</f>
        <v>8362.3067200000005</v>
      </c>
      <c r="G539" s="249">
        <f t="shared" ref="G539:H542" si="199">G540</f>
        <v>0</v>
      </c>
      <c r="H539" s="40">
        <f t="shared" si="199"/>
        <v>8362.3067200000005</v>
      </c>
      <c r="I539" s="126">
        <f t="shared" si="198"/>
        <v>100</v>
      </c>
    </row>
    <row r="540" spans="1:9" s="35" customFormat="1" ht="15">
      <c r="A540" s="51" t="s">
        <v>375</v>
      </c>
      <c r="B540" s="111" t="s">
        <v>762</v>
      </c>
      <c r="C540" s="21" t="s">
        <v>432</v>
      </c>
      <c r="D540" s="21"/>
      <c r="E540" s="22"/>
      <c r="F540" s="112">
        <f>F541</f>
        <v>8362.3067200000005</v>
      </c>
      <c r="G540" s="134">
        <f t="shared" si="199"/>
        <v>0</v>
      </c>
      <c r="H540" s="112">
        <f t="shared" si="199"/>
        <v>8362.3067200000005</v>
      </c>
      <c r="I540" s="112">
        <f t="shared" si="198"/>
        <v>100</v>
      </c>
    </row>
    <row r="541" spans="1:9" s="35" customFormat="1" ht="15">
      <c r="A541" s="51" t="s">
        <v>376</v>
      </c>
      <c r="B541" s="111" t="s">
        <v>762</v>
      </c>
      <c r="C541" s="21" t="s">
        <v>432</v>
      </c>
      <c r="D541" s="21" t="s">
        <v>76</v>
      </c>
      <c r="E541" s="22"/>
      <c r="F541" s="112">
        <f>F542</f>
        <v>8362.3067200000005</v>
      </c>
      <c r="G541" s="134">
        <f t="shared" si="199"/>
        <v>0</v>
      </c>
      <c r="H541" s="112">
        <f t="shared" si="199"/>
        <v>8362.3067200000005</v>
      </c>
      <c r="I541" s="112">
        <f t="shared" si="198"/>
        <v>100</v>
      </c>
    </row>
    <row r="542" spans="1:9" s="35" customFormat="1" ht="24">
      <c r="A542" s="72" t="s">
        <v>226</v>
      </c>
      <c r="B542" s="28" t="s">
        <v>762</v>
      </c>
      <c r="C542" s="28" t="s">
        <v>432</v>
      </c>
      <c r="D542" s="28" t="s">
        <v>76</v>
      </c>
      <c r="E542" s="28" t="s">
        <v>434</v>
      </c>
      <c r="F542" s="37">
        <f>F543</f>
        <v>8362.3067200000005</v>
      </c>
      <c r="G542" s="88">
        <f t="shared" si="199"/>
        <v>0</v>
      </c>
      <c r="H542" s="37">
        <f t="shared" si="199"/>
        <v>8362.3067200000005</v>
      </c>
      <c r="I542" s="121">
        <f t="shared" si="198"/>
        <v>100</v>
      </c>
    </row>
    <row r="543" spans="1:9" s="35" customFormat="1" ht="15">
      <c r="A543" s="72" t="s">
        <v>435</v>
      </c>
      <c r="B543" s="28" t="s">
        <v>762</v>
      </c>
      <c r="C543" s="28" t="s">
        <v>432</v>
      </c>
      <c r="D543" s="28" t="s">
        <v>76</v>
      </c>
      <c r="E543" s="28" t="s">
        <v>436</v>
      </c>
      <c r="F543" s="37">
        <v>8362.3067200000005</v>
      </c>
      <c r="G543" s="88">
        <v>0</v>
      </c>
      <c r="H543" s="37">
        <v>8362.3067200000005</v>
      </c>
      <c r="I543" s="121">
        <f t="shared" si="198"/>
        <v>100</v>
      </c>
    </row>
    <row r="544" spans="1:9" s="35" customFormat="1" ht="24">
      <c r="A544" s="110" t="s">
        <v>636</v>
      </c>
      <c r="B544" s="111" t="s">
        <v>764</v>
      </c>
      <c r="C544" s="111"/>
      <c r="D544" s="111"/>
      <c r="E544" s="111"/>
      <c r="F544" s="38">
        <f>F545</f>
        <v>1100</v>
      </c>
      <c r="G544" s="87">
        <f t="shared" ref="G544:H547" si="200">G545</f>
        <v>0</v>
      </c>
      <c r="H544" s="38">
        <f t="shared" si="200"/>
        <v>1100</v>
      </c>
      <c r="I544" s="112">
        <f t="shared" si="198"/>
        <v>100</v>
      </c>
    </row>
    <row r="545" spans="1:9" s="35" customFormat="1" ht="15">
      <c r="A545" s="153" t="s">
        <v>375</v>
      </c>
      <c r="B545" s="111" t="s">
        <v>764</v>
      </c>
      <c r="C545" s="111" t="s">
        <v>432</v>
      </c>
      <c r="D545" s="111"/>
      <c r="E545" s="111"/>
      <c r="F545" s="38">
        <f>F546</f>
        <v>1100</v>
      </c>
      <c r="G545" s="87">
        <f t="shared" si="200"/>
        <v>0</v>
      </c>
      <c r="H545" s="38">
        <f t="shared" si="200"/>
        <v>1100</v>
      </c>
      <c r="I545" s="112">
        <f t="shared" si="198"/>
        <v>100</v>
      </c>
    </row>
    <row r="546" spans="1:9" s="35" customFormat="1" ht="15">
      <c r="A546" s="153" t="s">
        <v>376</v>
      </c>
      <c r="B546" s="111" t="s">
        <v>764</v>
      </c>
      <c r="C546" s="111" t="s">
        <v>432</v>
      </c>
      <c r="D546" s="111" t="s">
        <v>76</v>
      </c>
      <c r="E546" s="111"/>
      <c r="F546" s="38">
        <f>F547</f>
        <v>1100</v>
      </c>
      <c r="G546" s="87">
        <f t="shared" si="200"/>
        <v>0</v>
      </c>
      <c r="H546" s="38">
        <f t="shared" si="200"/>
        <v>1100</v>
      </c>
      <c r="I546" s="112">
        <f t="shared" si="198"/>
        <v>100</v>
      </c>
    </row>
    <row r="547" spans="1:9" s="35" customFormat="1" ht="24">
      <c r="A547" s="119" t="s">
        <v>226</v>
      </c>
      <c r="B547" s="120" t="s">
        <v>764</v>
      </c>
      <c r="C547" s="120" t="s">
        <v>432</v>
      </c>
      <c r="D547" s="120" t="s">
        <v>76</v>
      </c>
      <c r="E547" s="120" t="s">
        <v>434</v>
      </c>
      <c r="F547" s="37">
        <f>F548</f>
        <v>1100</v>
      </c>
      <c r="G547" s="88">
        <f t="shared" si="200"/>
        <v>0</v>
      </c>
      <c r="H547" s="37">
        <f t="shared" si="200"/>
        <v>1100</v>
      </c>
      <c r="I547" s="121">
        <f t="shared" si="198"/>
        <v>100</v>
      </c>
    </row>
    <row r="548" spans="1:9" s="35" customFormat="1" ht="15">
      <c r="A548" s="119" t="s">
        <v>435</v>
      </c>
      <c r="B548" s="120" t="s">
        <v>764</v>
      </c>
      <c r="C548" s="120" t="s">
        <v>432</v>
      </c>
      <c r="D548" s="120" t="s">
        <v>76</v>
      </c>
      <c r="E548" s="120" t="s">
        <v>436</v>
      </c>
      <c r="F548" s="37">
        <v>1100</v>
      </c>
      <c r="G548" s="88">
        <v>0</v>
      </c>
      <c r="H548" s="37">
        <v>1100</v>
      </c>
      <c r="I548" s="121">
        <f t="shared" si="198"/>
        <v>100</v>
      </c>
    </row>
    <row r="549" spans="1:9" s="35" customFormat="1" ht="24">
      <c r="A549" s="110" t="s">
        <v>451</v>
      </c>
      <c r="B549" s="111" t="s">
        <v>507</v>
      </c>
      <c r="C549" s="111"/>
      <c r="D549" s="111"/>
      <c r="E549" s="111"/>
      <c r="F549" s="112">
        <f>F550</f>
        <v>25495</v>
      </c>
      <c r="G549" s="112">
        <f t="shared" ref="G549:H552" si="201">G550</f>
        <v>4265.3829999999998</v>
      </c>
      <c r="H549" s="112">
        <f t="shared" si="201"/>
        <v>15495</v>
      </c>
      <c r="I549" s="112">
        <f t="shared" si="198"/>
        <v>60.776622867228866</v>
      </c>
    </row>
    <row r="550" spans="1:9" s="35" customFormat="1" ht="15">
      <c r="A550" s="51" t="s">
        <v>375</v>
      </c>
      <c r="B550" s="111" t="s">
        <v>507</v>
      </c>
      <c r="C550" s="21" t="s">
        <v>432</v>
      </c>
      <c r="D550" s="21"/>
      <c r="E550" s="125"/>
      <c r="F550" s="112">
        <f>F551</f>
        <v>25495</v>
      </c>
      <c r="G550" s="112">
        <f t="shared" si="201"/>
        <v>4265.3829999999998</v>
      </c>
      <c r="H550" s="112">
        <f t="shared" si="201"/>
        <v>15495</v>
      </c>
      <c r="I550" s="112">
        <f t="shared" si="198"/>
        <v>60.776622867228866</v>
      </c>
    </row>
    <row r="551" spans="1:9" s="35" customFormat="1" ht="15">
      <c r="A551" s="51" t="s">
        <v>376</v>
      </c>
      <c r="B551" s="111" t="s">
        <v>507</v>
      </c>
      <c r="C551" s="21" t="s">
        <v>432</v>
      </c>
      <c r="D551" s="21" t="s">
        <v>76</v>
      </c>
      <c r="E551" s="125"/>
      <c r="F551" s="112">
        <f>F552</f>
        <v>25495</v>
      </c>
      <c r="G551" s="112">
        <f t="shared" si="201"/>
        <v>4265.3829999999998</v>
      </c>
      <c r="H551" s="112">
        <f t="shared" si="201"/>
        <v>15495</v>
      </c>
      <c r="I551" s="112">
        <f t="shared" si="198"/>
        <v>60.776622867228866</v>
      </c>
    </row>
    <row r="552" spans="1:9" s="35" customFormat="1" ht="24">
      <c r="A552" s="119" t="s">
        <v>104</v>
      </c>
      <c r="B552" s="120" t="s">
        <v>507</v>
      </c>
      <c r="C552" s="120" t="s">
        <v>432</v>
      </c>
      <c r="D552" s="120" t="s">
        <v>76</v>
      </c>
      <c r="E552" s="120" t="s">
        <v>408</v>
      </c>
      <c r="F552" s="121">
        <f>F553</f>
        <v>25495</v>
      </c>
      <c r="G552" s="121">
        <f t="shared" si="201"/>
        <v>4265.3829999999998</v>
      </c>
      <c r="H552" s="121">
        <f t="shared" si="201"/>
        <v>15495</v>
      </c>
      <c r="I552" s="121">
        <f t="shared" si="198"/>
        <v>60.776622867228866</v>
      </c>
    </row>
    <row r="553" spans="1:9" s="35" customFormat="1" ht="24">
      <c r="A553" s="119" t="s">
        <v>139</v>
      </c>
      <c r="B553" s="120" t="s">
        <v>507</v>
      </c>
      <c r="C553" s="120" t="s">
        <v>432</v>
      </c>
      <c r="D553" s="120" t="s">
        <v>76</v>
      </c>
      <c r="E553" s="120" t="s">
        <v>463</v>
      </c>
      <c r="F553" s="121">
        <v>25495</v>
      </c>
      <c r="G553" s="121">
        <v>4265.3829999999998</v>
      </c>
      <c r="H553" s="121">
        <f>25495-10000</f>
        <v>15495</v>
      </c>
      <c r="I553" s="121">
        <f t="shared" si="198"/>
        <v>60.776622867228866</v>
      </c>
    </row>
    <row r="554" spans="1:9" s="35" customFormat="1" ht="24">
      <c r="A554" s="110" t="s">
        <v>60</v>
      </c>
      <c r="B554" s="111" t="s">
        <v>669</v>
      </c>
      <c r="C554" s="111"/>
      <c r="D554" s="111"/>
      <c r="E554" s="120"/>
      <c r="F554" s="112">
        <f>F555</f>
        <v>22385</v>
      </c>
      <c r="G554" s="112">
        <f t="shared" ref="G554:H557" si="202">G555</f>
        <v>19096.016240000001</v>
      </c>
      <c r="H554" s="112">
        <f t="shared" si="202"/>
        <v>22385</v>
      </c>
      <c r="I554" s="112">
        <f t="shared" si="198"/>
        <v>100</v>
      </c>
    </row>
    <row r="555" spans="1:9" s="35" customFormat="1" ht="15">
      <c r="A555" s="51" t="s">
        <v>375</v>
      </c>
      <c r="B555" s="111" t="s">
        <v>669</v>
      </c>
      <c r="C555" s="21" t="s">
        <v>432</v>
      </c>
      <c r="D555" s="21"/>
      <c r="E555" s="120"/>
      <c r="F555" s="112">
        <f>F556</f>
        <v>22385</v>
      </c>
      <c r="G555" s="112">
        <f t="shared" si="202"/>
        <v>19096.016240000001</v>
      </c>
      <c r="H555" s="112">
        <f t="shared" si="202"/>
        <v>22385</v>
      </c>
      <c r="I555" s="112">
        <f t="shared" si="198"/>
        <v>100</v>
      </c>
    </row>
    <row r="556" spans="1:9" s="35" customFormat="1" ht="15">
      <c r="A556" s="51" t="s">
        <v>379</v>
      </c>
      <c r="B556" s="111" t="s">
        <v>669</v>
      </c>
      <c r="C556" s="21" t="s">
        <v>432</v>
      </c>
      <c r="D556" s="21" t="s">
        <v>483</v>
      </c>
      <c r="E556" s="120"/>
      <c r="F556" s="112">
        <f>F557</f>
        <v>22385</v>
      </c>
      <c r="G556" s="112">
        <f t="shared" si="202"/>
        <v>19096.016240000001</v>
      </c>
      <c r="H556" s="112">
        <f t="shared" si="202"/>
        <v>22385</v>
      </c>
      <c r="I556" s="112">
        <f t="shared" si="198"/>
        <v>100</v>
      </c>
    </row>
    <row r="557" spans="1:9" s="35" customFormat="1" ht="24">
      <c r="A557" s="119" t="s">
        <v>104</v>
      </c>
      <c r="B557" s="120" t="s">
        <v>669</v>
      </c>
      <c r="C557" s="120" t="s">
        <v>432</v>
      </c>
      <c r="D557" s="120" t="s">
        <v>483</v>
      </c>
      <c r="E557" s="120" t="s">
        <v>408</v>
      </c>
      <c r="F557" s="121">
        <f>F558</f>
        <v>22385</v>
      </c>
      <c r="G557" s="121">
        <f t="shared" si="202"/>
        <v>19096.016240000001</v>
      </c>
      <c r="H557" s="121">
        <f t="shared" si="202"/>
        <v>22385</v>
      </c>
      <c r="I557" s="121">
        <f t="shared" si="198"/>
        <v>100</v>
      </c>
    </row>
    <row r="558" spans="1:9" s="35" customFormat="1" ht="15">
      <c r="A558" s="119" t="s">
        <v>105</v>
      </c>
      <c r="B558" s="120" t="s">
        <v>669</v>
      </c>
      <c r="C558" s="120" t="s">
        <v>432</v>
      </c>
      <c r="D558" s="120" t="s">
        <v>483</v>
      </c>
      <c r="E558" s="120" t="s">
        <v>425</v>
      </c>
      <c r="F558" s="121">
        <v>22385</v>
      </c>
      <c r="G558" s="121">
        <v>19096.016240000001</v>
      </c>
      <c r="H558" s="121">
        <v>22385</v>
      </c>
      <c r="I558" s="121">
        <f t="shared" si="198"/>
        <v>100</v>
      </c>
    </row>
    <row r="559" spans="1:9" s="35" customFormat="1" ht="24">
      <c r="A559" s="141" t="s">
        <v>61</v>
      </c>
      <c r="B559" s="142" t="s">
        <v>670</v>
      </c>
      <c r="C559" s="111"/>
      <c r="D559" s="111"/>
      <c r="E559" s="111"/>
      <c r="F559" s="112">
        <f>F560</f>
        <v>9507.0030000000006</v>
      </c>
      <c r="G559" s="112">
        <f t="shared" ref="G559:H561" si="203">G560</f>
        <v>6436.0717299999997</v>
      </c>
      <c r="H559" s="112">
        <f t="shared" si="203"/>
        <v>9507.0030000000006</v>
      </c>
      <c r="I559" s="112">
        <f t="shared" si="198"/>
        <v>100</v>
      </c>
    </row>
    <row r="560" spans="1:9" s="35" customFormat="1" ht="24">
      <c r="A560" s="143" t="s">
        <v>485</v>
      </c>
      <c r="B560" s="139" t="s">
        <v>670</v>
      </c>
      <c r="C560" s="139"/>
      <c r="D560" s="139"/>
      <c r="E560" s="139"/>
      <c r="F560" s="144">
        <f>F561</f>
        <v>9507.0030000000006</v>
      </c>
      <c r="G560" s="144">
        <f t="shared" si="203"/>
        <v>6436.0717299999997</v>
      </c>
      <c r="H560" s="144">
        <f t="shared" si="203"/>
        <v>9507.0030000000006</v>
      </c>
      <c r="I560" s="144">
        <f t="shared" si="198"/>
        <v>100</v>
      </c>
    </row>
    <row r="561" spans="1:9" s="35" customFormat="1" ht="15">
      <c r="A561" s="51" t="s">
        <v>375</v>
      </c>
      <c r="B561" s="111" t="s">
        <v>670</v>
      </c>
      <c r="C561" s="21" t="s">
        <v>432</v>
      </c>
      <c r="D561" s="21"/>
      <c r="E561" s="139"/>
      <c r="F561" s="112">
        <f>F562</f>
        <v>9507.0030000000006</v>
      </c>
      <c r="G561" s="112">
        <f t="shared" si="203"/>
        <v>6436.0717299999997</v>
      </c>
      <c r="H561" s="112">
        <f t="shared" si="203"/>
        <v>9507.0030000000006</v>
      </c>
      <c r="I561" s="112">
        <f t="shared" si="198"/>
        <v>100</v>
      </c>
    </row>
    <row r="562" spans="1:9" s="35" customFormat="1" ht="15">
      <c r="A562" s="51" t="s">
        <v>380</v>
      </c>
      <c r="B562" s="111" t="s">
        <v>670</v>
      </c>
      <c r="C562" s="21" t="s">
        <v>432</v>
      </c>
      <c r="D562" s="21" t="s">
        <v>432</v>
      </c>
      <c r="E562" s="139"/>
      <c r="F562" s="112">
        <f>F563+F565+F567</f>
        <v>9507.0030000000006</v>
      </c>
      <c r="G562" s="112">
        <f t="shared" ref="G562:H562" si="204">G563+G565+G567</f>
        <v>6436.0717299999997</v>
      </c>
      <c r="H562" s="112">
        <f t="shared" si="204"/>
        <v>9507.0030000000006</v>
      </c>
      <c r="I562" s="112">
        <f t="shared" si="198"/>
        <v>100</v>
      </c>
    </row>
    <row r="563" spans="1:9" s="35" customFormat="1" ht="36">
      <c r="A563" s="119" t="s">
        <v>79</v>
      </c>
      <c r="B563" s="120" t="s">
        <v>670</v>
      </c>
      <c r="C563" s="120" t="s">
        <v>432</v>
      </c>
      <c r="D563" s="120" t="s">
        <v>432</v>
      </c>
      <c r="E563" s="120" t="s">
        <v>80</v>
      </c>
      <c r="F563" s="121">
        <f>F564</f>
        <v>6626.4064500000004</v>
      </c>
      <c r="G563" s="121">
        <f t="shared" ref="G563:H563" si="205">G564</f>
        <v>4609.1915799999997</v>
      </c>
      <c r="H563" s="121">
        <f t="shared" si="205"/>
        <v>6626.4064500000004</v>
      </c>
      <c r="I563" s="121">
        <f t="shared" si="198"/>
        <v>100</v>
      </c>
    </row>
    <row r="564" spans="1:9" s="35" customFormat="1" ht="15">
      <c r="A564" s="119" t="s">
        <v>486</v>
      </c>
      <c r="B564" s="120" t="s">
        <v>670</v>
      </c>
      <c r="C564" s="120" t="s">
        <v>432</v>
      </c>
      <c r="D564" s="120" t="s">
        <v>432</v>
      </c>
      <c r="E564" s="120" t="s">
        <v>487</v>
      </c>
      <c r="F564" s="121">
        <f>5126+1500.40645</f>
        <v>6626.4064500000004</v>
      </c>
      <c r="G564" s="121">
        <v>4609.1915799999997</v>
      </c>
      <c r="H564" s="121">
        <f>5126+1500.40645</f>
        <v>6626.4064500000004</v>
      </c>
      <c r="I564" s="121">
        <f t="shared" si="198"/>
        <v>100</v>
      </c>
    </row>
    <row r="565" spans="1:9" s="35" customFormat="1" ht="15">
      <c r="A565" s="119" t="s">
        <v>301</v>
      </c>
      <c r="B565" s="120" t="s">
        <v>670</v>
      </c>
      <c r="C565" s="120" t="s">
        <v>432</v>
      </c>
      <c r="D565" s="120" t="s">
        <v>432</v>
      </c>
      <c r="E565" s="120" t="s">
        <v>84</v>
      </c>
      <c r="F565" s="121">
        <f>F566</f>
        <v>1973.2965500000003</v>
      </c>
      <c r="G565" s="121">
        <f t="shared" ref="G565:H565" si="206">G566</f>
        <v>1017.11915</v>
      </c>
      <c r="H565" s="121">
        <f t="shared" si="206"/>
        <v>1973.2965500000003</v>
      </c>
      <c r="I565" s="121">
        <f t="shared" si="198"/>
        <v>100</v>
      </c>
    </row>
    <row r="566" spans="1:9" s="35" customFormat="1" ht="24">
      <c r="A566" s="119" t="s">
        <v>85</v>
      </c>
      <c r="B566" s="120" t="s">
        <v>670</v>
      </c>
      <c r="C566" s="120" t="s">
        <v>432</v>
      </c>
      <c r="D566" s="120" t="s">
        <v>432</v>
      </c>
      <c r="E566" s="120" t="s">
        <v>86</v>
      </c>
      <c r="F566" s="121">
        <f>78.7+69+120+194.5+20+3+80+30+30+648+708.39655-8.3</f>
        <v>1973.2965500000003</v>
      </c>
      <c r="G566" s="121">
        <v>1017.11915</v>
      </c>
      <c r="H566" s="121">
        <f>78.7+69+120+194.5+20+3+80+30+30+648+708.39655-8.3</f>
        <v>1973.2965500000003</v>
      </c>
      <c r="I566" s="121">
        <f t="shared" si="198"/>
        <v>100</v>
      </c>
    </row>
    <row r="567" spans="1:9" s="35" customFormat="1" ht="15">
      <c r="A567" s="119" t="s">
        <v>87</v>
      </c>
      <c r="B567" s="120" t="s">
        <v>670</v>
      </c>
      <c r="C567" s="120" t="s">
        <v>432</v>
      </c>
      <c r="D567" s="120" t="s">
        <v>432</v>
      </c>
      <c r="E567" s="120" t="s">
        <v>88</v>
      </c>
      <c r="F567" s="121">
        <f>F568</f>
        <v>907.3</v>
      </c>
      <c r="G567" s="121">
        <f t="shared" ref="G567:H567" si="207">G568</f>
        <v>809.76099999999997</v>
      </c>
      <c r="H567" s="121">
        <f t="shared" si="207"/>
        <v>907.3</v>
      </c>
      <c r="I567" s="121">
        <f t="shared" si="198"/>
        <v>100</v>
      </c>
    </row>
    <row r="568" spans="1:9" s="35" customFormat="1" ht="15">
      <c r="A568" s="119" t="s">
        <v>514</v>
      </c>
      <c r="B568" s="120" t="s">
        <v>670</v>
      </c>
      <c r="C568" s="120" t="s">
        <v>432</v>
      </c>
      <c r="D568" s="120" t="s">
        <v>432</v>
      </c>
      <c r="E568" s="120" t="s">
        <v>89</v>
      </c>
      <c r="F568" s="121">
        <f>520+9+8.3+370</f>
        <v>907.3</v>
      </c>
      <c r="G568" s="121">
        <v>809.76099999999997</v>
      </c>
      <c r="H568" s="121">
        <f>520+9+8.3+370</f>
        <v>907.3</v>
      </c>
      <c r="I568" s="121">
        <f t="shared" si="198"/>
        <v>100</v>
      </c>
    </row>
    <row r="569" spans="1:9" s="35" customFormat="1" ht="24">
      <c r="A569" s="110" t="s">
        <v>159</v>
      </c>
      <c r="B569" s="111" t="s">
        <v>671</v>
      </c>
      <c r="C569" s="111"/>
      <c r="D569" s="111"/>
      <c r="E569" s="111"/>
      <c r="F569" s="134">
        <f>F570</f>
        <v>2500</v>
      </c>
      <c r="G569" s="134">
        <f t="shared" ref="G569:H572" si="208">G570</f>
        <v>2255.7939299999998</v>
      </c>
      <c r="H569" s="134">
        <f t="shared" si="208"/>
        <v>2500</v>
      </c>
      <c r="I569" s="112">
        <f t="shared" si="198"/>
        <v>100</v>
      </c>
    </row>
    <row r="570" spans="1:9" s="35" customFormat="1" ht="15">
      <c r="A570" s="51" t="s">
        <v>375</v>
      </c>
      <c r="B570" s="21" t="s">
        <v>671</v>
      </c>
      <c r="C570" s="21" t="s">
        <v>432</v>
      </c>
      <c r="D570" s="21"/>
      <c r="E570" s="125"/>
      <c r="F570" s="134">
        <f>F571</f>
        <v>2500</v>
      </c>
      <c r="G570" s="134">
        <f t="shared" si="208"/>
        <v>2255.7939299999998</v>
      </c>
      <c r="H570" s="134">
        <f t="shared" si="208"/>
        <v>2500</v>
      </c>
      <c r="I570" s="112">
        <f t="shared" si="198"/>
        <v>100</v>
      </c>
    </row>
    <row r="571" spans="1:9" s="35" customFormat="1" ht="15">
      <c r="A571" s="51" t="s">
        <v>376</v>
      </c>
      <c r="B571" s="21" t="s">
        <v>671</v>
      </c>
      <c r="C571" s="21" t="s">
        <v>432</v>
      </c>
      <c r="D571" s="21" t="s">
        <v>76</v>
      </c>
      <c r="E571" s="125"/>
      <c r="F571" s="134">
        <f>F572</f>
        <v>2500</v>
      </c>
      <c r="G571" s="134">
        <f t="shared" si="208"/>
        <v>2255.7939299999998</v>
      </c>
      <c r="H571" s="134">
        <f t="shared" si="208"/>
        <v>2500</v>
      </c>
      <c r="I571" s="112">
        <f t="shared" si="198"/>
        <v>100</v>
      </c>
    </row>
    <row r="572" spans="1:9" s="35" customFormat="1" ht="15">
      <c r="A572" s="119" t="s">
        <v>301</v>
      </c>
      <c r="B572" s="120" t="s">
        <v>671</v>
      </c>
      <c r="C572" s="120" t="s">
        <v>432</v>
      </c>
      <c r="D572" s="120" t="s">
        <v>76</v>
      </c>
      <c r="E572" s="120" t="s">
        <v>84</v>
      </c>
      <c r="F572" s="135">
        <f>F573</f>
        <v>2500</v>
      </c>
      <c r="G572" s="135">
        <f t="shared" si="208"/>
        <v>2255.7939299999998</v>
      </c>
      <c r="H572" s="135">
        <f t="shared" si="208"/>
        <v>2500</v>
      </c>
      <c r="I572" s="121">
        <f t="shared" si="198"/>
        <v>100</v>
      </c>
    </row>
    <row r="573" spans="1:9" s="35" customFormat="1" ht="24">
      <c r="A573" s="119" t="s">
        <v>85</v>
      </c>
      <c r="B573" s="120" t="s">
        <v>671</v>
      </c>
      <c r="C573" s="120" t="s">
        <v>432</v>
      </c>
      <c r="D573" s="120" t="s">
        <v>76</v>
      </c>
      <c r="E573" s="120" t="s">
        <v>86</v>
      </c>
      <c r="F573" s="135">
        <v>2500</v>
      </c>
      <c r="G573" s="135">
        <v>2255.7939299999998</v>
      </c>
      <c r="H573" s="135">
        <v>2500</v>
      </c>
      <c r="I573" s="121">
        <f t="shared" si="198"/>
        <v>100</v>
      </c>
    </row>
    <row r="574" spans="1:9" s="35" customFormat="1" ht="48">
      <c r="A574" s="153" t="s">
        <v>358</v>
      </c>
      <c r="B574" s="111" t="s">
        <v>672</v>
      </c>
      <c r="C574" s="111"/>
      <c r="D574" s="111"/>
      <c r="E574" s="111"/>
      <c r="F574" s="134">
        <f>F575</f>
        <v>34000</v>
      </c>
      <c r="G574" s="134">
        <f t="shared" ref="G574:H577" si="209">G575</f>
        <v>31315.237239999999</v>
      </c>
      <c r="H574" s="134">
        <f t="shared" si="209"/>
        <v>34000</v>
      </c>
      <c r="I574" s="112">
        <f t="shared" si="198"/>
        <v>100</v>
      </c>
    </row>
    <row r="575" spans="1:9" s="35" customFormat="1" ht="15">
      <c r="A575" s="51" t="s">
        <v>375</v>
      </c>
      <c r="B575" s="111" t="s">
        <v>672</v>
      </c>
      <c r="C575" s="21" t="s">
        <v>432</v>
      </c>
      <c r="D575" s="21"/>
      <c r="E575" s="111"/>
      <c r="F575" s="134">
        <f>F576</f>
        <v>34000</v>
      </c>
      <c r="G575" s="134">
        <f t="shared" si="209"/>
        <v>31315.237239999999</v>
      </c>
      <c r="H575" s="134">
        <f t="shared" si="209"/>
        <v>34000</v>
      </c>
      <c r="I575" s="112">
        <f t="shared" si="198"/>
        <v>100</v>
      </c>
    </row>
    <row r="576" spans="1:9" s="35" customFormat="1" ht="15">
      <c r="A576" s="51" t="s">
        <v>379</v>
      </c>
      <c r="B576" s="111" t="s">
        <v>672</v>
      </c>
      <c r="C576" s="21" t="s">
        <v>432</v>
      </c>
      <c r="D576" s="21" t="s">
        <v>483</v>
      </c>
      <c r="E576" s="111"/>
      <c r="F576" s="134">
        <f>F577</f>
        <v>34000</v>
      </c>
      <c r="G576" s="134">
        <f t="shared" si="209"/>
        <v>31315.237239999999</v>
      </c>
      <c r="H576" s="134">
        <f t="shared" si="209"/>
        <v>34000</v>
      </c>
      <c r="I576" s="112">
        <f t="shared" si="198"/>
        <v>100</v>
      </c>
    </row>
    <row r="577" spans="1:9" s="35" customFormat="1" ht="15">
      <c r="A577" s="119" t="s">
        <v>87</v>
      </c>
      <c r="B577" s="120" t="s">
        <v>672</v>
      </c>
      <c r="C577" s="120" t="s">
        <v>432</v>
      </c>
      <c r="D577" s="120" t="s">
        <v>483</v>
      </c>
      <c r="E577" s="120" t="s">
        <v>88</v>
      </c>
      <c r="F577" s="135">
        <f>F578</f>
        <v>34000</v>
      </c>
      <c r="G577" s="135">
        <f t="shared" si="209"/>
        <v>31315.237239999999</v>
      </c>
      <c r="H577" s="135">
        <f t="shared" si="209"/>
        <v>34000</v>
      </c>
      <c r="I577" s="121">
        <f t="shared" si="198"/>
        <v>100</v>
      </c>
    </row>
    <row r="578" spans="1:9" s="35" customFormat="1" ht="24">
      <c r="A578" s="119" t="s">
        <v>513</v>
      </c>
      <c r="B578" s="120" t="s">
        <v>672</v>
      </c>
      <c r="C578" s="120" t="s">
        <v>432</v>
      </c>
      <c r="D578" s="120" t="s">
        <v>483</v>
      </c>
      <c r="E578" s="120" t="s">
        <v>430</v>
      </c>
      <c r="F578" s="135">
        <v>34000</v>
      </c>
      <c r="G578" s="135">
        <v>31315.237239999999</v>
      </c>
      <c r="H578" s="135">
        <v>34000</v>
      </c>
      <c r="I578" s="121">
        <f t="shared" si="198"/>
        <v>100</v>
      </c>
    </row>
    <row r="579" spans="1:9" s="35" customFormat="1" ht="15">
      <c r="A579" s="110" t="s">
        <v>248</v>
      </c>
      <c r="B579" s="111" t="s">
        <v>673</v>
      </c>
      <c r="C579" s="111"/>
      <c r="D579" s="111"/>
      <c r="E579" s="111"/>
      <c r="F579" s="112">
        <f>F580</f>
        <v>85000</v>
      </c>
      <c r="G579" s="112">
        <f t="shared" ref="G579:H582" si="210">G580</f>
        <v>58592.250529999998</v>
      </c>
      <c r="H579" s="112">
        <f t="shared" si="210"/>
        <v>80000</v>
      </c>
      <c r="I579" s="112">
        <f t="shared" si="198"/>
        <v>94.117647058823522</v>
      </c>
    </row>
    <row r="580" spans="1:9" s="35" customFormat="1" ht="15">
      <c r="A580" s="51" t="s">
        <v>375</v>
      </c>
      <c r="B580" s="111" t="s">
        <v>673</v>
      </c>
      <c r="C580" s="21" t="s">
        <v>432</v>
      </c>
      <c r="D580" s="21"/>
      <c r="E580" s="111"/>
      <c r="F580" s="112">
        <f>F581</f>
        <v>85000</v>
      </c>
      <c r="G580" s="112">
        <f t="shared" si="210"/>
        <v>58592.250529999998</v>
      </c>
      <c r="H580" s="112">
        <f t="shared" si="210"/>
        <v>80000</v>
      </c>
      <c r="I580" s="112">
        <f t="shared" si="198"/>
        <v>94.117647058823522</v>
      </c>
    </row>
    <row r="581" spans="1:9" s="35" customFormat="1" ht="15">
      <c r="A581" s="51" t="s">
        <v>379</v>
      </c>
      <c r="B581" s="111" t="s">
        <v>673</v>
      </c>
      <c r="C581" s="21" t="s">
        <v>432</v>
      </c>
      <c r="D581" s="21" t="s">
        <v>483</v>
      </c>
      <c r="E581" s="111"/>
      <c r="F581" s="112">
        <f>F582</f>
        <v>85000</v>
      </c>
      <c r="G581" s="112">
        <f t="shared" si="210"/>
        <v>58592.250529999998</v>
      </c>
      <c r="H581" s="112">
        <f t="shared" si="210"/>
        <v>80000</v>
      </c>
      <c r="I581" s="112">
        <f t="shared" si="198"/>
        <v>94.117647058823522</v>
      </c>
    </row>
    <row r="582" spans="1:9" s="35" customFormat="1" ht="15">
      <c r="A582" s="119" t="s">
        <v>301</v>
      </c>
      <c r="B582" s="120" t="s">
        <v>673</v>
      </c>
      <c r="C582" s="120" t="s">
        <v>432</v>
      </c>
      <c r="D582" s="120" t="s">
        <v>483</v>
      </c>
      <c r="E582" s="120" t="s">
        <v>84</v>
      </c>
      <c r="F582" s="121">
        <f>F583</f>
        <v>85000</v>
      </c>
      <c r="G582" s="121">
        <f t="shared" si="210"/>
        <v>58592.250529999998</v>
      </c>
      <c r="H582" s="121">
        <f t="shared" si="210"/>
        <v>80000</v>
      </c>
      <c r="I582" s="121">
        <f t="shared" si="198"/>
        <v>94.117647058823522</v>
      </c>
    </row>
    <row r="583" spans="1:9" s="35" customFormat="1" ht="24">
      <c r="A583" s="119" t="s">
        <v>85</v>
      </c>
      <c r="B583" s="120" t="s">
        <v>673</v>
      </c>
      <c r="C583" s="120" t="s">
        <v>432</v>
      </c>
      <c r="D583" s="120" t="s">
        <v>483</v>
      </c>
      <c r="E583" s="120" t="s">
        <v>86</v>
      </c>
      <c r="F583" s="121">
        <v>85000</v>
      </c>
      <c r="G583" s="121">
        <v>58592.250529999998</v>
      </c>
      <c r="H583" s="121">
        <f>85000-5000</f>
        <v>80000</v>
      </c>
      <c r="I583" s="121">
        <f t="shared" si="198"/>
        <v>94.117647058823522</v>
      </c>
    </row>
    <row r="584" spans="1:9" s="35" customFormat="1" ht="24">
      <c r="A584" s="110" t="s">
        <v>674</v>
      </c>
      <c r="B584" s="111" t="s">
        <v>675</v>
      </c>
      <c r="C584" s="111"/>
      <c r="D584" s="111"/>
      <c r="E584" s="111"/>
      <c r="F584" s="112">
        <f>F585</f>
        <v>5000</v>
      </c>
      <c r="G584" s="112">
        <f t="shared" ref="G584:H587" si="211">G585</f>
        <v>995.10900000000004</v>
      </c>
      <c r="H584" s="112">
        <f t="shared" si="211"/>
        <v>3000</v>
      </c>
      <c r="I584" s="112">
        <f t="shared" si="198"/>
        <v>60</v>
      </c>
    </row>
    <row r="585" spans="1:9" s="35" customFormat="1" ht="15">
      <c r="A585" s="51" t="s">
        <v>375</v>
      </c>
      <c r="B585" s="111" t="s">
        <v>675</v>
      </c>
      <c r="C585" s="21" t="s">
        <v>432</v>
      </c>
      <c r="D585" s="28"/>
      <c r="E585" s="111"/>
      <c r="F585" s="112">
        <f>F586</f>
        <v>5000</v>
      </c>
      <c r="G585" s="112">
        <f t="shared" si="211"/>
        <v>995.10900000000004</v>
      </c>
      <c r="H585" s="112">
        <f t="shared" si="211"/>
        <v>3000</v>
      </c>
      <c r="I585" s="112">
        <f t="shared" si="198"/>
        <v>60</v>
      </c>
    </row>
    <row r="586" spans="1:9" s="35" customFormat="1" ht="15">
      <c r="A586" s="51" t="s">
        <v>377</v>
      </c>
      <c r="B586" s="111" t="s">
        <v>675</v>
      </c>
      <c r="C586" s="21" t="s">
        <v>432</v>
      </c>
      <c r="D586" s="21" t="s">
        <v>491</v>
      </c>
      <c r="E586" s="111"/>
      <c r="F586" s="112">
        <f>F587</f>
        <v>5000</v>
      </c>
      <c r="G586" s="112">
        <f t="shared" si="211"/>
        <v>995.10900000000004</v>
      </c>
      <c r="H586" s="112">
        <f t="shared" si="211"/>
        <v>3000</v>
      </c>
      <c r="I586" s="112">
        <f t="shared" si="198"/>
        <v>60</v>
      </c>
    </row>
    <row r="587" spans="1:9" s="35" customFormat="1" ht="15">
      <c r="A587" s="119" t="s">
        <v>301</v>
      </c>
      <c r="B587" s="120" t="s">
        <v>675</v>
      </c>
      <c r="C587" s="120" t="s">
        <v>432</v>
      </c>
      <c r="D587" s="120" t="s">
        <v>491</v>
      </c>
      <c r="E587" s="120" t="s">
        <v>84</v>
      </c>
      <c r="F587" s="121">
        <f>F588</f>
        <v>5000</v>
      </c>
      <c r="G587" s="121">
        <f t="shared" si="211"/>
        <v>995.10900000000004</v>
      </c>
      <c r="H587" s="121">
        <f t="shared" si="211"/>
        <v>3000</v>
      </c>
      <c r="I587" s="121">
        <f t="shared" si="198"/>
        <v>60</v>
      </c>
    </row>
    <row r="588" spans="1:9" s="35" customFormat="1" ht="24">
      <c r="A588" s="119" t="s">
        <v>85</v>
      </c>
      <c r="B588" s="120" t="s">
        <v>675</v>
      </c>
      <c r="C588" s="120" t="s">
        <v>432</v>
      </c>
      <c r="D588" s="120" t="s">
        <v>491</v>
      </c>
      <c r="E588" s="120" t="s">
        <v>86</v>
      </c>
      <c r="F588" s="121">
        <v>5000</v>
      </c>
      <c r="G588" s="121">
        <v>995.10900000000004</v>
      </c>
      <c r="H588" s="121">
        <f>5000-2000</f>
        <v>3000</v>
      </c>
      <c r="I588" s="121">
        <f t="shared" si="198"/>
        <v>60</v>
      </c>
    </row>
    <row r="589" spans="1:9" s="35" customFormat="1" ht="24">
      <c r="A589" s="110" t="s">
        <v>250</v>
      </c>
      <c r="B589" s="111" t="s">
        <v>126</v>
      </c>
      <c r="C589" s="111"/>
      <c r="D589" s="111"/>
      <c r="E589" s="120"/>
      <c r="F589" s="112">
        <f>F590</f>
        <v>14850</v>
      </c>
      <c r="G589" s="112">
        <f t="shared" ref="G589:H589" si="212">G590</f>
        <v>11256.455249999999</v>
      </c>
      <c r="H589" s="112">
        <f t="shared" si="212"/>
        <v>14850</v>
      </c>
      <c r="I589" s="112">
        <f t="shared" si="198"/>
        <v>100</v>
      </c>
    </row>
    <row r="590" spans="1:9" s="35" customFormat="1" ht="36">
      <c r="A590" s="124" t="s">
        <v>410</v>
      </c>
      <c r="B590" s="125" t="s">
        <v>126</v>
      </c>
      <c r="C590" s="125"/>
      <c r="D590" s="125"/>
      <c r="E590" s="125"/>
      <c r="F590" s="126">
        <f>F591+F596</f>
        <v>14850</v>
      </c>
      <c r="G590" s="126">
        <f t="shared" ref="G590:H590" si="213">G591+G596</f>
        <v>11256.455249999999</v>
      </c>
      <c r="H590" s="126">
        <f t="shared" si="213"/>
        <v>14850</v>
      </c>
      <c r="I590" s="126">
        <f t="shared" si="198"/>
        <v>100</v>
      </c>
    </row>
    <row r="591" spans="1:9" s="35" customFormat="1" ht="24">
      <c r="A591" s="127" t="s">
        <v>392</v>
      </c>
      <c r="B591" s="111" t="s">
        <v>508</v>
      </c>
      <c r="C591" s="111"/>
      <c r="D591" s="111"/>
      <c r="E591" s="111"/>
      <c r="F591" s="112">
        <f>F592</f>
        <v>13650</v>
      </c>
      <c r="G591" s="112">
        <f>G592</f>
        <v>10710.992039999999</v>
      </c>
      <c r="H591" s="112">
        <f>H592</f>
        <v>13650</v>
      </c>
      <c r="I591" s="112">
        <f t="shared" si="198"/>
        <v>100</v>
      </c>
    </row>
    <row r="592" spans="1:9" s="35" customFormat="1" ht="15">
      <c r="A592" s="51" t="s">
        <v>375</v>
      </c>
      <c r="B592" s="21" t="s">
        <v>508</v>
      </c>
      <c r="C592" s="21" t="s">
        <v>432</v>
      </c>
      <c r="D592" s="21"/>
      <c r="E592" s="111"/>
      <c r="F592" s="112">
        <f>F593</f>
        <v>13650</v>
      </c>
      <c r="G592" s="112">
        <f t="shared" ref="G592:H594" si="214">G593</f>
        <v>10710.992039999999</v>
      </c>
      <c r="H592" s="112">
        <f t="shared" si="214"/>
        <v>13650</v>
      </c>
      <c r="I592" s="112">
        <f t="shared" si="198"/>
        <v>100</v>
      </c>
    </row>
    <row r="593" spans="1:9" s="35" customFormat="1" ht="15">
      <c r="A593" s="51" t="s">
        <v>380</v>
      </c>
      <c r="B593" s="21" t="s">
        <v>508</v>
      </c>
      <c r="C593" s="21" t="s">
        <v>432</v>
      </c>
      <c r="D593" s="21" t="s">
        <v>432</v>
      </c>
      <c r="E593" s="111"/>
      <c r="F593" s="112">
        <f>F594</f>
        <v>13650</v>
      </c>
      <c r="G593" s="112">
        <f t="shared" si="214"/>
        <v>10710.992039999999</v>
      </c>
      <c r="H593" s="112">
        <f t="shared" si="214"/>
        <v>13650</v>
      </c>
      <c r="I593" s="112">
        <f t="shared" si="198"/>
        <v>100</v>
      </c>
    </row>
    <row r="594" spans="1:9" s="35" customFormat="1" ht="36">
      <c r="A594" s="119" t="s">
        <v>79</v>
      </c>
      <c r="B594" s="120" t="s">
        <v>508</v>
      </c>
      <c r="C594" s="120" t="s">
        <v>432</v>
      </c>
      <c r="D594" s="120" t="s">
        <v>432</v>
      </c>
      <c r="E594" s="120" t="s">
        <v>80</v>
      </c>
      <c r="F594" s="121">
        <f>F595</f>
        <v>13650</v>
      </c>
      <c r="G594" s="121">
        <f t="shared" si="214"/>
        <v>10710.992039999999</v>
      </c>
      <c r="H594" s="121">
        <f t="shared" si="214"/>
        <v>13650</v>
      </c>
      <c r="I594" s="121">
        <f t="shared" si="198"/>
        <v>100</v>
      </c>
    </row>
    <row r="595" spans="1:9" s="35" customFormat="1" ht="15">
      <c r="A595" s="119" t="s">
        <v>81</v>
      </c>
      <c r="B595" s="120" t="s">
        <v>508</v>
      </c>
      <c r="C595" s="120" t="s">
        <v>432</v>
      </c>
      <c r="D595" s="120" t="s">
        <v>432</v>
      </c>
      <c r="E595" s="120" t="s">
        <v>82</v>
      </c>
      <c r="F595" s="121">
        <v>13650</v>
      </c>
      <c r="G595" s="121">
        <v>10710.992039999999</v>
      </c>
      <c r="H595" s="121">
        <v>13650</v>
      </c>
      <c r="I595" s="121">
        <f t="shared" si="198"/>
        <v>100</v>
      </c>
    </row>
    <row r="596" spans="1:9" s="35" customFormat="1" ht="15">
      <c r="A596" s="110" t="s">
        <v>83</v>
      </c>
      <c r="B596" s="111" t="s">
        <v>509</v>
      </c>
      <c r="C596" s="111"/>
      <c r="D596" s="111"/>
      <c r="E596" s="111"/>
      <c r="F596" s="112">
        <f>F597</f>
        <v>1200</v>
      </c>
      <c r="G596" s="112">
        <f t="shared" ref="G596:H597" si="215">G597</f>
        <v>545.46321</v>
      </c>
      <c r="H596" s="112">
        <f t="shared" si="215"/>
        <v>1200</v>
      </c>
      <c r="I596" s="112">
        <f t="shared" si="198"/>
        <v>100</v>
      </c>
    </row>
    <row r="597" spans="1:9" s="35" customFormat="1" ht="15">
      <c r="A597" s="51" t="s">
        <v>375</v>
      </c>
      <c r="B597" s="111" t="s">
        <v>509</v>
      </c>
      <c r="C597" s="21" t="s">
        <v>432</v>
      </c>
      <c r="D597" s="21"/>
      <c r="E597" s="111"/>
      <c r="F597" s="112">
        <f>F598</f>
        <v>1200</v>
      </c>
      <c r="G597" s="112">
        <f t="shared" si="215"/>
        <v>545.46321</v>
      </c>
      <c r="H597" s="112">
        <f t="shared" si="215"/>
        <v>1200</v>
      </c>
      <c r="I597" s="112">
        <f t="shared" si="198"/>
        <v>100</v>
      </c>
    </row>
    <row r="598" spans="1:9" s="35" customFormat="1" ht="15">
      <c r="A598" s="51" t="s">
        <v>380</v>
      </c>
      <c r="B598" s="111" t="s">
        <v>509</v>
      </c>
      <c r="C598" s="21" t="s">
        <v>432</v>
      </c>
      <c r="D598" s="21" t="s">
        <v>432</v>
      </c>
      <c r="E598" s="111"/>
      <c r="F598" s="112">
        <f>F599+F601</f>
        <v>1200</v>
      </c>
      <c r="G598" s="112">
        <f t="shared" ref="G598:H598" si="216">G599+G601</f>
        <v>545.46321</v>
      </c>
      <c r="H598" s="112">
        <f t="shared" si="216"/>
        <v>1200</v>
      </c>
      <c r="I598" s="112">
        <f t="shared" si="198"/>
        <v>100</v>
      </c>
    </row>
    <row r="599" spans="1:9" s="35" customFormat="1" ht="15">
      <c r="A599" s="119" t="s">
        <v>301</v>
      </c>
      <c r="B599" s="120" t="s">
        <v>509</v>
      </c>
      <c r="C599" s="120" t="s">
        <v>432</v>
      </c>
      <c r="D599" s="120" t="s">
        <v>432</v>
      </c>
      <c r="E599" s="120" t="s">
        <v>84</v>
      </c>
      <c r="F599" s="121">
        <f>F600</f>
        <v>1170</v>
      </c>
      <c r="G599" s="121">
        <f t="shared" ref="G599:H599" si="217">G600</f>
        <v>544.62917000000004</v>
      </c>
      <c r="H599" s="121">
        <f t="shared" si="217"/>
        <v>1170</v>
      </c>
      <c r="I599" s="121">
        <f t="shared" si="198"/>
        <v>100</v>
      </c>
    </row>
    <row r="600" spans="1:9" s="35" customFormat="1" ht="24">
      <c r="A600" s="119" t="s">
        <v>85</v>
      </c>
      <c r="B600" s="120" t="s">
        <v>509</v>
      </c>
      <c r="C600" s="120" t="s">
        <v>432</v>
      </c>
      <c r="D600" s="120" t="s">
        <v>432</v>
      </c>
      <c r="E600" s="120" t="s">
        <v>86</v>
      </c>
      <c r="F600" s="121">
        <v>1170</v>
      </c>
      <c r="G600" s="121">
        <v>544.62917000000004</v>
      </c>
      <c r="H600" s="121">
        <v>1170</v>
      </c>
      <c r="I600" s="121">
        <f t="shared" si="198"/>
        <v>100</v>
      </c>
    </row>
    <row r="601" spans="1:9" s="35" customFormat="1" ht="15">
      <c r="A601" s="119" t="s">
        <v>87</v>
      </c>
      <c r="B601" s="120" t="s">
        <v>509</v>
      </c>
      <c r="C601" s="120" t="s">
        <v>432</v>
      </c>
      <c r="D601" s="120" t="s">
        <v>432</v>
      </c>
      <c r="E601" s="120" t="s">
        <v>88</v>
      </c>
      <c r="F601" s="121">
        <f>F602</f>
        <v>30</v>
      </c>
      <c r="G601" s="121">
        <f t="shared" ref="G601:H601" si="218">G602</f>
        <v>0.83404</v>
      </c>
      <c r="H601" s="121">
        <f t="shared" si="218"/>
        <v>30</v>
      </c>
      <c r="I601" s="121">
        <f t="shared" si="198"/>
        <v>100</v>
      </c>
    </row>
    <row r="602" spans="1:9" s="35" customFormat="1" ht="15">
      <c r="A602" s="119" t="s">
        <v>514</v>
      </c>
      <c r="B602" s="120" t="s">
        <v>509</v>
      </c>
      <c r="C602" s="120" t="s">
        <v>432</v>
      </c>
      <c r="D602" s="120" t="s">
        <v>432</v>
      </c>
      <c r="E602" s="120" t="s">
        <v>89</v>
      </c>
      <c r="F602" s="121">
        <v>30</v>
      </c>
      <c r="G602" s="121">
        <v>0.83404</v>
      </c>
      <c r="H602" s="121">
        <v>30</v>
      </c>
      <c r="I602" s="121">
        <f t="shared" ref="I602" si="219">H602/F602*100</f>
        <v>100</v>
      </c>
    </row>
    <row r="603" spans="1:9" s="35" customFormat="1" ht="27">
      <c r="A603" s="131" t="s">
        <v>694</v>
      </c>
      <c r="B603" s="132" t="s">
        <v>272</v>
      </c>
      <c r="C603" s="132"/>
      <c r="D603" s="132"/>
      <c r="E603" s="132"/>
      <c r="F603" s="192">
        <f>F604+F609+F619+F624+F629+F636+F641+F646+F651+F656+F661+F666+F690+F695+F671+F681+F684+F687+F614+F676</f>
        <v>361018.24778999999</v>
      </c>
      <c r="G603" s="192">
        <f t="shared" ref="G603:H603" si="220">G604+G609+G619+G624+G629+G636+G641+G646+G651+G656+G661+G666+G690+G695+G671+G681+G684+G687+G614+G676</f>
        <v>245449.16047999999</v>
      </c>
      <c r="H603" s="192">
        <f t="shared" si="220"/>
        <v>321578.62478999997</v>
      </c>
      <c r="I603" s="192">
        <f>H603/F603*100</f>
        <v>89.075448888959869</v>
      </c>
    </row>
    <row r="604" spans="1:9" s="35" customFormat="1" ht="24">
      <c r="A604" s="110" t="s">
        <v>494</v>
      </c>
      <c r="B604" s="111" t="s">
        <v>641</v>
      </c>
      <c r="C604" s="111"/>
      <c r="D604" s="111"/>
      <c r="E604" s="111"/>
      <c r="F604" s="134">
        <f>F605</f>
        <v>1840</v>
      </c>
      <c r="G604" s="134">
        <f t="shared" ref="G604:H607" si="221">G605</f>
        <v>553.32100000000003</v>
      </c>
      <c r="H604" s="134">
        <f t="shared" si="221"/>
        <v>1840</v>
      </c>
      <c r="I604" s="112">
        <f t="shared" ref="I604:I667" si="222">H604/F604*100</f>
        <v>100</v>
      </c>
    </row>
    <row r="605" spans="1:9" s="35" customFormat="1" ht="15">
      <c r="A605" s="51" t="s">
        <v>375</v>
      </c>
      <c r="B605" s="111" t="s">
        <v>641</v>
      </c>
      <c r="C605" s="21" t="s">
        <v>432</v>
      </c>
      <c r="D605" s="21"/>
      <c r="E605" s="111"/>
      <c r="F605" s="134">
        <f>F606</f>
        <v>1840</v>
      </c>
      <c r="G605" s="134">
        <f t="shared" si="221"/>
        <v>553.32100000000003</v>
      </c>
      <c r="H605" s="134">
        <f t="shared" si="221"/>
        <v>1840</v>
      </c>
      <c r="I605" s="112">
        <f t="shared" si="222"/>
        <v>100</v>
      </c>
    </row>
    <row r="606" spans="1:9" s="35" customFormat="1" ht="15">
      <c r="A606" s="51" t="s">
        <v>376</v>
      </c>
      <c r="B606" s="111" t="s">
        <v>641</v>
      </c>
      <c r="C606" s="21" t="s">
        <v>432</v>
      </c>
      <c r="D606" s="21" t="s">
        <v>76</v>
      </c>
      <c r="E606" s="111"/>
      <c r="F606" s="134">
        <f>F607</f>
        <v>1840</v>
      </c>
      <c r="G606" s="134">
        <f t="shared" si="221"/>
        <v>553.32100000000003</v>
      </c>
      <c r="H606" s="134">
        <f t="shared" si="221"/>
        <v>1840</v>
      </c>
      <c r="I606" s="112">
        <f t="shared" si="222"/>
        <v>100</v>
      </c>
    </row>
    <row r="607" spans="1:9" s="35" customFormat="1" ht="15">
      <c r="A607" s="119" t="s">
        <v>301</v>
      </c>
      <c r="B607" s="120" t="s">
        <v>641</v>
      </c>
      <c r="C607" s="120" t="s">
        <v>432</v>
      </c>
      <c r="D607" s="120" t="s">
        <v>76</v>
      </c>
      <c r="E607" s="120" t="s">
        <v>84</v>
      </c>
      <c r="F607" s="135">
        <f>F608</f>
        <v>1840</v>
      </c>
      <c r="G607" s="135">
        <f t="shared" si="221"/>
        <v>553.32100000000003</v>
      </c>
      <c r="H607" s="135">
        <f t="shared" si="221"/>
        <v>1840</v>
      </c>
      <c r="I607" s="121">
        <f t="shared" si="222"/>
        <v>100</v>
      </c>
    </row>
    <row r="608" spans="1:9" s="35" customFormat="1" ht="24">
      <c r="A608" s="119" t="s">
        <v>85</v>
      </c>
      <c r="B608" s="120" t="s">
        <v>641</v>
      </c>
      <c r="C608" s="120" t="s">
        <v>432</v>
      </c>
      <c r="D608" s="120" t="s">
        <v>76</v>
      </c>
      <c r="E608" s="120" t="s">
        <v>86</v>
      </c>
      <c r="F608" s="135">
        <f>2000-160</f>
        <v>1840</v>
      </c>
      <c r="G608" s="135">
        <v>553.32100000000003</v>
      </c>
      <c r="H608" s="135">
        <f>2000-160</f>
        <v>1840</v>
      </c>
      <c r="I608" s="121">
        <f t="shared" si="222"/>
        <v>100</v>
      </c>
    </row>
    <row r="609" spans="1:9" s="35" customFormat="1" ht="15">
      <c r="A609" s="141" t="s">
        <v>136</v>
      </c>
      <c r="B609" s="111" t="s">
        <v>640</v>
      </c>
      <c r="C609" s="111"/>
      <c r="D609" s="111"/>
      <c r="E609" s="111"/>
      <c r="F609" s="112">
        <f>F610</f>
        <v>200</v>
      </c>
      <c r="G609" s="134">
        <f t="shared" ref="G609:H612" si="223">G610</f>
        <v>0</v>
      </c>
      <c r="H609" s="112">
        <f t="shared" si="223"/>
        <v>200</v>
      </c>
      <c r="I609" s="112">
        <f t="shared" si="222"/>
        <v>100</v>
      </c>
    </row>
    <row r="610" spans="1:9" s="35" customFormat="1" ht="15">
      <c r="A610" s="51" t="s">
        <v>363</v>
      </c>
      <c r="B610" s="111" t="s">
        <v>640</v>
      </c>
      <c r="C610" s="21" t="s">
        <v>78</v>
      </c>
      <c r="D610" s="21"/>
      <c r="E610" s="111"/>
      <c r="F610" s="112">
        <f>F611</f>
        <v>200</v>
      </c>
      <c r="G610" s="134">
        <f t="shared" si="223"/>
        <v>0</v>
      </c>
      <c r="H610" s="112">
        <f t="shared" si="223"/>
        <v>200</v>
      </c>
      <c r="I610" s="112">
        <f t="shared" si="222"/>
        <v>100</v>
      </c>
    </row>
    <row r="611" spans="1:9" s="35" customFormat="1" ht="15">
      <c r="A611" s="51" t="s">
        <v>405</v>
      </c>
      <c r="B611" s="111" t="s">
        <v>640</v>
      </c>
      <c r="C611" s="21" t="s">
        <v>78</v>
      </c>
      <c r="D611" s="21" t="s">
        <v>489</v>
      </c>
      <c r="E611" s="111"/>
      <c r="F611" s="112">
        <f>F612</f>
        <v>200</v>
      </c>
      <c r="G611" s="134">
        <f t="shared" si="223"/>
        <v>0</v>
      </c>
      <c r="H611" s="112">
        <f t="shared" si="223"/>
        <v>200</v>
      </c>
      <c r="I611" s="112">
        <f t="shared" si="222"/>
        <v>100</v>
      </c>
    </row>
    <row r="612" spans="1:9" s="35" customFormat="1" ht="15">
      <c r="A612" s="119" t="s">
        <v>301</v>
      </c>
      <c r="B612" s="120" t="s">
        <v>640</v>
      </c>
      <c r="C612" s="120" t="s">
        <v>78</v>
      </c>
      <c r="D612" s="120" t="s">
        <v>489</v>
      </c>
      <c r="E612" s="120" t="s">
        <v>84</v>
      </c>
      <c r="F612" s="121">
        <f>F613</f>
        <v>200</v>
      </c>
      <c r="G612" s="135">
        <f t="shared" si="223"/>
        <v>0</v>
      </c>
      <c r="H612" s="121">
        <f t="shared" si="223"/>
        <v>200</v>
      </c>
      <c r="I612" s="121">
        <f t="shared" si="222"/>
        <v>100</v>
      </c>
    </row>
    <row r="613" spans="1:9" s="35" customFormat="1" ht="24">
      <c r="A613" s="119" t="s">
        <v>85</v>
      </c>
      <c r="B613" s="120" t="s">
        <v>640</v>
      </c>
      <c r="C613" s="120" t="s">
        <v>78</v>
      </c>
      <c r="D613" s="120" t="s">
        <v>489</v>
      </c>
      <c r="E613" s="120" t="s">
        <v>86</v>
      </c>
      <c r="F613" s="121">
        <v>200</v>
      </c>
      <c r="G613" s="135">
        <v>0</v>
      </c>
      <c r="H613" s="121">
        <v>200</v>
      </c>
      <c r="I613" s="121">
        <f t="shared" si="222"/>
        <v>100</v>
      </c>
    </row>
    <row r="614" spans="1:9" s="35" customFormat="1" ht="15">
      <c r="A614" s="141" t="s">
        <v>136</v>
      </c>
      <c r="B614" s="111" t="s">
        <v>640</v>
      </c>
      <c r="C614" s="111"/>
      <c r="D614" s="111"/>
      <c r="E614" s="111"/>
      <c r="F614" s="134">
        <f>F615</f>
        <v>160</v>
      </c>
      <c r="G614" s="134">
        <f t="shared" ref="G614:H617" si="224">G615</f>
        <v>50</v>
      </c>
      <c r="H614" s="134">
        <f t="shared" si="224"/>
        <v>160</v>
      </c>
      <c r="I614" s="112">
        <f t="shared" si="222"/>
        <v>100</v>
      </c>
    </row>
    <row r="615" spans="1:9" s="35" customFormat="1" ht="15">
      <c r="A615" s="51" t="s">
        <v>375</v>
      </c>
      <c r="B615" s="111" t="s">
        <v>640</v>
      </c>
      <c r="C615" s="21" t="s">
        <v>432</v>
      </c>
      <c r="D615" s="21"/>
      <c r="E615" s="111"/>
      <c r="F615" s="134">
        <f>F616</f>
        <v>160</v>
      </c>
      <c r="G615" s="134">
        <f t="shared" si="224"/>
        <v>50</v>
      </c>
      <c r="H615" s="134">
        <f t="shared" si="224"/>
        <v>160</v>
      </c>
      <c r="I615" s="112">
        <f t="shared" si="222"/>
        <v>100</v>
      </c>
    </row>
    <row r="616" spans="1:9" s="35" customFormat="1" ht="15">
      <c r="A616" s="51" t="s">
        <v>376</v>
      </c>
      <c r="B616" s="111" t="s">
        <v>640</v>
      </c>
      <c r="C616" s="21" t="s">
        <v>432</v>
      </c>
      <c r="D616" s="21" t="s">
        <v>76</v>
      </c>
      <c r="E616" s="111"/>
      <c r="F616" s="134">
        <f>F617</f>
        <v>160</v>
      </c>
      <c r="G616" s="134">
        <f t="shared" si="224"/>
        <v>50</v>
      </c>
      <c r="H616" s="134">
        <f t="shared" si="224"/>
        <v>160</v>
      </c>
      <c r="I616" s="112">
        <f t="shared" si="222"/>
        <v>100</v>
      </c>
    </row>
    <row r="617" spans="1:9" s="35" customFormat="1" ht="15">
      <c r="A617" s="119" t="s">
        <v>301</v>
      </c>
      <c r="B617" s="120" t="s">
        <v>640</v>
      </c>
      <c r="C617" s="120" t="s">
        <v>432</v>
      </c>
      <c r="D617" s="120" t="s">
        <v>76</v>
      </c>
      <c r="E617" s="120" t="s">
        <v>84</v>
      </c>
      <c r="F617" s="135">
        <f>F618</f>
        <v>160</v>
      </c>
      <c r="G617" s="135">
        <f t="shared" si="224"/>
        <v>50</v>
      </c>
      <c r="H617" s="135">
        <f t="shared" si="224"/>
        <v>160</v>
      </c>
      <c r="I617" s="121">
        <f t="shared" si="222"/>
        <v>100</v>
      </c>
    </row>
    <row r="618" spans="1:9" s="35" customFormat="1" ht="24">
      <c r="A618" s="119" t="s">
        <v>85</v>
      </c>
      <c r="B618" s="120" t="s">
        <v>640</v>
      </c>
      <c r="C618" s="120" t="s">
        <v>432</v>
      </c>
      <c r="D618" s="120" t="s">
        <v>76</v>
      </c>
      <c r="E618" s="120" t="s">
        <v>86</v>
      </c>
      <c r="F618" s="135">
        <v>160</v>
      </c>
      <c r="G618" s="135">
        <v>50</v>
      </c>
      <c r="H618" s="135">
        <v>160</v>
      </c>
      <c r="I618" s="121">
        <f t="shared" si="222"/>
        <v>100</v>
      </c>
    </row>
    <row r="619" spans="1:9" s="35" customFormat="1" ht="15">
      <c r="A619" s="141" t="s">
        <v>136</v>
      </c>
      <c r="B619" s="111" t="s">
        <v>640</v>
      </c>
      <c r="C619" s="111"/>
      <c r="D619" s="111"/>
      <c r="E619" s="111"/>
      <c r="F619" s="134">
        <f>F620</f>
        <v>500</v>
      </c>
      <c r="G619" s="134">
        <f t="shared" ref="G619:H622" si="225">G620</f>
        <v>189.797</v>
      </c>
      <c r="H619" s="134">
        <f t="shared" si="225"/>
        <v>500</v>
      </c>
      <c r="I619" s="112">
        <f t="shared" si="222"/>
        <v>100</v>
      </c>
    </row>
    <row r="620" spans="1:9" s="35" customFormat="1" ht="15">
      <c r="A620" s="51" t="s">
        <v>375</v>
      </c>
      <c r="B620" s="111" t="s">
        <v>640</v>
      </c>
      <c r="C620" s="21" t="s">
        <v>432</v>
      </c>
      <c r="D620" s="21"/>
      <c r="E620" s="111"/>
      <c r="F620" s="134">
        <f>F621</f>
        <v>500</v>
      </c>
      <c r="G620" s="134">
        <f t="shared" si="225"/>
        <v>189.797</v>
      </c>
      <c r="H620" s="134">
        <f t="shared" si="225"/>
        <v>500</v>
      </c>
      <c r="I620" s="112">
        <f t="shared" si="222"/>
        <v>100</v>
      </c>
    </row>
    <row r="621" spans="1:9" s="35" customFormat="1" ht="15">
      <c r="A621" s="51" t="s">
        <v>379</v>
      </c>
      <c r="B621" s="111" t="s">
        <v>640</v>
      </c>
      <c r="C621" s="21" t="s">
        <v>432</v>
      </c>
      <c r="D621" s="21" t="s">
        <v>483</v>
      </c>
      <c r="E621" s="111"/>
      <c r="F621" s="134">
        <f>F622</f>
        <v>500</v>
      </c>
      <c r="G621" s="134">
        <f t="shared" si="225"/>
        <v>189.797</v>
      </c>
      <c r="H621" s="134">
        <f t="shared" si="225"/>
        <v>500</v>
      </c>
      <c r="I621" s="112">
        <f t="shared" si="222"/>
        <v>100</v>
      </c>
    </row>
    <row r="622" spans="1:9" s="35" customFormat="1" ht="15">
      <c r="A622" s="119" t="s">
        <v>301</v>
      </c>
      <c r="B622" s="120" t="s">
        <v>640</v>
      </c>
      <c r="C622" s="120" t="s">
        <v>432</v>
      </c>
      <c r="D622" s="120" t="s">
        <v>483</v>
      </c>
      <c r="E622" s="120" t="s">
        <v>84</v>
      </c>
      <c r="F622" s="135">
        <f>F623</f>
        <v>500</v>
      </c>
      <c r="G622" s="135">
        <f t="shared" si="225"/>
        <v>189.797</v>
      </c>
      <c r="H622" s="135">
        <f t="shared" si="225"/>
        <v>500</v>
      </c>
      <c r="I622" s="121">
        <f t="shared" si="222"/>
        <v>100</v>
      </c>
    </row>
    <row r="623" spans="1:9" s="35" customFormat="1" ht="24">
      <c r="A623" s="119" t="s">
        <v>85</v>
      </c>
      <c r="B623" s="120" t="s">
        <v>640</v>
      </c>
      <c r="C623" s="120" t="s">
        <v>432</v>
      </c>
      <c r="D623" s="120" t="s">
        <v>483</v>
      </c>
      <c r="E623" s="120" t="s">
        <v>86</v>
      </c>
      <c r="F623" s="135">
        <v>500</v>
      </c>
      <c r="G623" s="135">
        <v>189.797</v>
      </c>
      <c r="H623" s="135">
        <v>500</v>
      </c>
      <c r="I623" s="121">
        <f t="shared" si="222"/>
        <v>100</v>
      </c>
    </row>
    <row r="624" spans="1:9" s="35" customFormat="1" ht="15">
      <c r="A624" s="141" t="s">
        <v>136</v>
      </c>
      <c r="B624" s="163" t="s">
        <v>640</v>
      </c>
      <c r="C624" s="111"/>
      <c r="D624" s="111"/>
      <c r="E624" s="111"/>
      <c r="F624" s="134">
        <f>F625</f>
        <v>3000</v>
      </c>
      <c r="G624" s="134">
        <f t="shared" ref="G624:H627" si="226">G625</f>
        <v>639.73</v>
      </c>
      <c r="H624" s="134">
        <f t="shared" si="226"/>
        <v>750</v>
      </c>
      <c r="I624" s="112">
        <f t="shared" si="222"/>
        <v>25</v>
      </c>
    </row>
    <row r="625" spans="1:9" s="35" customFormat="1" ht="15">
      <c r="A625" s="51" t="s">
        <v>381</v>
      </c>
      <c r="B625" s="163" t="s">
        <v>640</v>
      </c>
      <c r="C625" s="21" t="s">
        <v>490</v>
      </c>
      <c r="D625" s="28"/>
      <c r="E625" s="111"/>
      <c r="F625" s="134">
        <f>F626</f>
        <v>3000</v>
      </c>
      <c r="G625" s="134">
        <f t="shared" si="226"/>
        <v>639.73</v>
      </c>
      <c r="H625" s="134">
        <f t="shared" si="226"/>
        <v>750</v>
      </c>
      <c r="I625" s="112">
        <f t="shared" si="222"/>
        <v>25</v>
      </c>
    </row>
    <row r="626" spans="1:9" s="35" customFormat="1" ht="15">
      <c r="A626" s="69" t="s">
        <v>385</v>
      </c>
      <c r="B626" s="163" t="s">
        <v>640</v>
      </c>
      <c r="C626" s="21" t="s">
        <v>490</v>
      </c>
      <c r="D626" s="21" t="s">
        <v>484</v>
      </c>
      <c r="E626" s="111"/>
      <c r="F626" s="134">
        <f>F627</f>
        <v>3000</v>
      </c>
      <c r="G626" s="134">
        <f t="shared" si="226"/>
        <v>639.73</v>
      </c>
      <c r="H626" s="134">
        <f t="shared" si="226"/>
        <v>750</v>
      </c>
      <c r="I626" s="112">
        <f t="shared" si="222"/>
        <v>25</v>
      </c>
    </row>
    <row r="627" spans="1:9" s="35" customFormat="1" ht="15">
      <c r="A627" s="119" t="s">
        <v>301</v>
      </c>
      <c r="B627" s="120" t="s">
        <v>640</v>
      </c>
      <c r="C627" s="120" t="s">
        <v>490</v>
      </c>
      <c r="D627" s="120" t="s">
        <v>484</v>
      </c>
      <c r="E627" s="120" t="s">
        <v>84</v>
      </c>
      <c r="F627" s="135">
        <f>F628</f>
        <v>3000</v>
      </c>
      <c r="G627" s="135">
        <f t="shared" si="226"/>
        <v>639.73</v>
      </c>
      <c r="H627" s="135">
        <f t="shared" si="226"/>
        <v>750</v>
      </c>
      <c r="I627" s="121">
        <f t="shared" si="222"/>
        <v>25</v>
      </c>
    </row>
    <row r="628" spans="1:9" s="35" customFormat="1" ht="24">
      <c r="A628" s="119" t="s">
        <v>85</v>
      </c>
      <c r="B628" s="120" t="s">
        <v>640</v>
      </c>
      <c r="C628" s="120" t="s">
        <v>490</v>
      </c>
      <c r="D628" s="120" t="s">
        <v>484</v>
      </c>
      <c r="E628" s="120" t="s">
        <v>86</v>
      </c>
      <c r="F628" s="135">
        <v>3000</v>
      </c>
      <c r="G628" s="135">
        <v>639.73</v>
      </c>
      <c r="H628" s="135">
        <f>3000-2250</f>
        <v>750</v>
      </c>
      <c r="I628" s="121">
        <f t="shared" si="222"/>
        <v>25</v>
      </c>
    </row>
    <row r="629" spans="1:9" s="35" customFormat="1" ht="15">
      <c r="A629" s="141" t="s">
        <v>136</v>
      </c>
      <c r="B629" s="111" t="s">
        <v>640</v>
      </c>
      <c r="C629" s="111"/>
      <c r="D629" s="111"/>
      <c r="E629" s="111"/>
      <c r="F629" s="112">
        <f>F630</f>
        <v>3000</v>
      </c>
      <c r="G629" s="112">
        <f t="shared" ref="G629:H630" si="227">G630</f>
        <v>220.21600000000001</v>
      </c>
      <c r="H629" s="112">
        <f t="shared" si="227"/>
        <v>270</v>
      </c>
      <c r="I629" s="112">
        <f t="shared" si="222"/>
        <v>9</v>
      </c>
    </row>
    <row r="630" spans="1:9" s="35" customFormat="1" ht="15">
      <c r="A630" s="69" t="s">
        <v>396</v>
      </c>
      <c r="B630" s="163" t="s">
        <v>640</v>
      </c>
      <c r="C630" s="21" t="s">
        <v>488</v>
      </c>
      <c r="D630" s="21"/>
      <c r="E630" s="111"/>
      <c r="F630" s="112">
        <f>F631</f>
        <v>3000</v>
      </c>
      <c r="G630" s="112">
        <f t="shared" si="227"/>
        <v>220.21600000000001</v>
      </c>
      <c r="H630" s="112">
        <f t="shared" si="227"/>
        <v>270</v>
      </c>
      <c r="I630" s="112">
        <f t="shared" si="222"/>
        <v>9</v>
      </c>
    </row>
    <row r="631" spans="1:9" s="35" customFormat="1" ht="15">
      <c r="A631" s="69" t="s">
        <v>468</v>
      </c>
      <c r="B631" s="163" t="s">
        <v>640</v>
      </c>
      <c r="C631" s="21" t="s">
        <v>488</v>
      </c>
      <c r="D631" s="21" t="s">
        <v>78</v>
      </c>
      <c r="E631" s="111"/>
      <c r="F631" s="112">
        <f>F632+F634</f>
        <v>3000</v>
      </c>
      <c r="G631" s="112">
        <f t="shared" ref="G631:H631" si="228">G632+G634</f>
        <v>220.21600000000001</v>
      </c>
      <c r="H631" s="112">
        <f t="shared" si="228"/>
        <v>270</v>
      </c>
      <c r="I631" s="112">
        <f t="shared" si="222"/>
        <v>9</v>
      </c>
    </row>
    <row r="632" spans="1:9" s="35" customFormat="1" ht="15">
      <c r="A632" s="119" t="s">
        <v>301</v>
      </c>
      <c r="B632" s="120" t="s">
        <v>640</v>
      </c>
      <c r="C632" s="120" t="s">
        <v>488</v>
      </c>
      <c r="D632" s="120" t="s">
        <v>78</v>
      </c>
      <c r="E632" s="120" t="s">
        <v>84</v>
      </c>
      <c r="F632" s="121">
        <f>F633</f>
        <v>500</v>
      </c>
      <c r="G632" s="121">
        <f t="shared" ref="G632:H632" si="229">G633</f>
        <v>220.21600000000001</v>
      </c>
      <c r="H632" s="121">
        <f t="shared" si="229"/>
        <v>270</v>
      </c>
      <c r="I632" s="121">
        <f t="shared" si="222"/>
        <v>54</v>
      </c>
    </row>
    <row r="633" spans="1:9" s="35" customFormat="1" ht="24">
      <c r="A633" s="119" t="s">
        <v>85</v>
      </c>
      <c r="B633" s="120" t="s">
        <v>640</v>
      </c>
      <c r="C633" s="120" t="s">
        <v>488</v>
      </c>
      <c r="D633" s="120" t="s">
        <v>78</v>
      </c>
      <c r="E633" s="120" t="s">
        <v>86</v>
      </c>
      <c r="F633" s="121">
        <v>500</v>
      </c>
      <c r="G633" s="121">
        <v>220.21600000000001</v>
      </c>
      <c r="H633" s="121">
        <f>500-230</f>
        <v>270</v>
      </c>
      <c r="I633" s="121">
        <f t="shared" si="222"/>
        <v>54</v>
      </c>
    </row>
    <row r="634" spans="1:9" s="35" customFormat="1" ht="24">
      <c r="A634" s="119" t="s">
        <v>226</v>
      </c>
      <c r="B634" s="120" t="s">
        <v>640</v>
      </c>
      <c r="C634" s="120" t="s">
        <v>488</v>
      </c>
      <c r="D634" s="120" t="s">
        <v>78</v>
      </c>
      <c r="E634" s="120" t="s">
        <v>434</v>
      </c>
      <c r="F634" s="121">
        <f>F635</f>
        <v>2500</v>
      </c>
      <c r="G634" s="135">
        <f t="shared" ref="G634:H634" si="230">G635</f>
        <v>0</v>
      </c>
      <c r="H634" s="135">
        <f t="shared" si="230"/>
        <v>0</v>
      </c>
      <c r="I634" s="135">
        <f t="shared" si="222"/>
        <v>0</v>
      </c>
    </row>
    <row r="635" spans="1:9" s="35" customFormat="1" ht="15">
      <c r="A635" s="119" t="s">
        <v>435</v>
      </c>
      <c r="B635" s="120" t="s">
        <v>640</v>
      </c>
      <c r="C635" s="120" t="s">
        <v>488</v>
      </c>
      <c r="D635" s="120" t="s">
        <v>78</v>
      </c>
      <c r="E635" s="120" t="s">
        <v>436</v>
      </c>
      <c r="F635" s="121">
        <v>2500</v>
      </c>
      <c r="G635" s="135">
        <v>0</v>
      </c>
      <c r="H635" s="135">
        <v>0</v>
      </c>
      <c r="I635" s="135">
        <f t="shared" si="222"/>
        <v>0</v>
      </c>
    </row>
    <row r="636" spans="1:9" s="35" customFormat="1" ht="15">
      <c r="A636" s="141" t="s">
        <v>174</v>
      </c>
      <c r="B636" s="163" t="s">
        <v>646</v>
      </c>
      <c r="C636" s="111"/>
      <c r="D636" s="111"/>
      <c r="E636" s="111"/>
      <c r="F636" s="112">
        <f>F637</f>
        <v>52950</v>
      </c>
      <c r="G636" s="112">
        <f t="shared" ref="G636:H639" si="231">G637</f>
        <v>52398.011050000001</v>
      </c>
      <c r="H636" s="112">
        <f t="shared" si="231"/>
        <v>52950</v>
      </c>
      <c r="I636" s="112">
        <f t="shared" si="222"/>
        <v>100</v>
      </c>
    </row>
    <row r="637" spans="1:9" s="35" customFormat="1" ht="15">
      <c r="A637" s="51" t="s">
        <v>381</v>
      </c>
      <c r="B637" s="163" t="s">
        <v>646</v>
      </c>
      <c r="C637" s="21" t="s">
        <v>490</v>
      </c>
      <c r="D637" s="28"/>
      <c r="E637" s="111"/>
      <c r="F637" s="112">
        <f>F638</f>
        <v>52950</v>
      </c>
      <c r="G637" s="112">
        <f t="shared" si="231"/>
        <v>52398.011050000001</v>
      </c>
      <c r="H637" s="112">
        <f t="shared" si="231"/>
        <v>52950</v>
      </c>
      <c r="I637" s="112">
        <f t="shared" si="222"/>
        <v>100</v>
      </c>
    </row>
    <row r="638" spans="1:9" s="35" customFormat="1" ht="15">
      <c r="A638" s="69" t="s">
        <v>385</v>
      </c>
      <c r="B638" s="163" t="s">
        <v>646</v>
      </c>
      <c r="C638" s="21" t="s">
        <v>490</v>
      </c>
      <c r="D638" s="21" t="s">
        <v>484</v>
      </c>
      <c r="E638" s="111"/>
      <c r="F638" s="112">
        <f>F639</f>
        <v>52950</v>
      </c>
      <c r="G638" s="112">
        <f t="shared" si="231"/>
        <v>52398.011050000001</v>
      </c>
      <c r="H638" s="112">
        <f t="shared" si="231"/>
        <v>52950</v>
      </c>
      <c r="I638" s="112">
        <f t="shared" si="222"/>
        <v>100</v>
      </c>
    </row>
    <row r="639" spans="1:9" s="35" customFormat="1" ht="15">
      <c r="A639" s="119" t="s">
        <v>301</v>
      </c>
      <c r="B639" s="164" t="s">
        <v>646</v>
      </c>
      <c r="C639" s="120" t="s">
        <v>490</v>
      </c>
      <c r="D639" s="120" t="s">
        <v>484</v>
      </c>
      <c r="E639" s="120" t="s">
        <v>84</v>
      </c>
      <c r="F639" s="121">
        <f>F640</f>
        <v>52950</v>
      </c>
      <c r="G639" s="121">
        <f t="shared" si="231"/>
        <v>52398.011050000001</v>
      </c>
      <c r="H639" s="121">
        <f t="shared" si="231"/>
        <v>52950</v>
      </c>
      <c r="I639" s="121">
        <f t="shared" si="222"/>
        <v>100</v>
      </c>
    </row>
    <row r="640" spans="1:9" s="35" customFormat="1" ht="24">
      <c r="A640" s="119" t="s">
        <v>85</v>
      </c>
      <c r="B640" s="164" t="s">
        <v>646</v>
      </c>
      <c r="C640" s="120" t="s">
        <v>490</v>
      </c>
      <c r="D640" s="120" t="s">
        <v>484</v>
      </c>
      <c r="E640" s="120" t="s">
        <v>86</v>
      </c>
      <c r="F640" s="121">
        <f>40000-8000+20950</f>
        <v>52950</v>
      </c>
      <c r="G640" s="121">
        <v>52398.011050000001</v>
      </c>
      <c r="H640" s="121">
        <f>40000-8000+20950</f>
        <v>52950</v>
      </c>
      <c r="I640" s="121">
        <f t="shared" si="222"/>
        <v>100</v>
      </c>
    </row>
    <row r="641" spans="1:9" s="35" customFormat="1" ht="24">
      <c r="A641" s="110" t="s">
        <v>352</v>
      </c>
      <c r="B641" s="163" t="s">
        <v>647</v>
      </c>
      <c r="C641" s="111"/>
      <c r="D641" s="111"/>
      <c r="E641" s="111"/>
      <c r="F641" s="112">
        <f>F642</f>
        <v>32000</v>
      </c>
      <c r="G641" s="134">
        <f t="shared" ref="G641:H644" si="232">G642</f>
        <v>0</v>
      </c>
      <c r="H641" s="134">
        <f t="shared" si="232"/>
        <v>0</v>
      </c>
      <c r="I641" s="134">
        <f t="shared" si="222"/>
        <v>0</v>
      </c>
    </row>
    <row r="642" spans="1:9" s="35" customFormat="1" ht="15">
      <c r="A642" s="51" t="s">
        <v>381</v>
      </c>
      <c r="B642" s="163" t="s">
        <v>647</v>
      </c>
      <c r="C642" s="21" t="s">
        <v>490</v>
      </c>
      <c r="D642" s="28"/>
      <c r="E642" s="111"/>
      <c r="F642" s="112">
        <f>F643</f>
        <v>32000</v>
      </c>
      <c r="G642" s="134">
        <f t="shared" si="232"/>
        <v>0</v>
      </c>
      <c r="H642" s="134">
        <f t="shared" si="232"/>
        <v>0</v>
      </c>
      <c r="I642" s="134">
        <f t="shared" si="222"/>
        <v>0</v>
      </c>
    </row>
    <row r="643" spans="1:9" s="35" customFormat="1" ht="15">
      <c r="A643" s="69" t="s">
        <v>385</v>
      </c>
      <c r="B643" s="163" t="s">
        <v>647</v>
      </c>
      <c r="C643" s="21" t="s">
        <v>490</v>
      </c>
      <c r="D643" s="21" t="s">
        <v>484</v>
      </c>
      <c r="E643" s="111"/>
      <c r="F643" s="112">
        <f>F644</f>
        <v>32000</v>
      </c>
      <c r="G643" s="134">
        <f t="shared" si="232"/>
        <v>0</v>
      </c>
      <c r="H643" s="134">
        <f t="shared" si="232"/>
        <v>0</v>
      </c>
      <c r="I643" s="134">
        <f t="shared" si="222"/>
        <v>0</v>
      </c>
    </row>
    <row r="644" spans="1:9" s="35" customFormat="1" ht="24">
      <c r="A644" s="119" t="s">
        <v>226</v>
      </c>
      <c r="B644" s="120" t="s">
        <v>647</v>
      </c>
      <c r="C644" s="120" t="s">
        <v>490</v>
      </c>
      <c r="D644" s="120" t="s">
        <v>484</v>
      </c>
      <c r="E644" s="120" t="s">
        <v>434</v>
      </c>
      <c r="F644" s="121">
        <f>F645</f>
        <v>32000</v>
      </c>
      <c r="G644" s="135">
        <f t="shared" si="232"/>
        <v>0</v>
      </c>
      <c r="H644" s="135">
        <f t="shared" si="232"/>
        <v>0</v>
      </c>
      <c r="I644" s="135">
        <f t="shared" si="222"/>
        <v>0</v>
      </c>
    </row>
    <row r="645" spans="1:9" s="35" customFormat="1" ht="15">
      <c r="A645" s="119" t="s">
        <v>435</v>
      </c>
      <c r="B645" s="120" t="s">
        <v>647</v>
      </c>
      <c r="C645" s="120" t="s">
        <v>490</v>
      </c>
      <c r="D645" s="120" t="s">
        <v>484</v>
      </c>
      <c r="E645" s="120" t="s">
        <v>436</v>
      </c>
      <c r="F645" s="121">
        <v>32000</v>
      </c>
      <c r="G645" s="135">
        <v>0</v>
      </c>
      <c r="H645" s="135">
        <v>0</v>
      </c>
      <c r="I645" s="135">
        <f t="shared" si="222"/>
        <v>0</v>
      </c>
    </row>
    <row r="646" spans="1:9" s="35" customFormat="1" ht="24">
      <c r="A646" s="110" t="s">
        <v>648</v>
      </c>
      <c r="B646" s="111" t="s">
        <v>649</v>
      </c>
      <c r="C646" s="111"/>
      <c r="D646" s="111"/>
      <c r="E646" s="111"/>
      <c r="F646" s="112">
        <f>F647</f>
        <v>1500</v>
      </c>
      <c r="G646" s="134">
        <f t="shared" ref="G646:H649" si="233">G647</f>
        <v>0</v>
      </c>
      <c r="H646" s="134">
        <f t="shared" si="233"/>
        <v>0</v>
      </c>
      <c r="I646" s="134">
        <f t="shared" si="222"/>
        <v>0</v>
      </c>
    </row>
    <row r="647" spans="1:9" s="35" customFormat="1" ht="15">
      <c r="A647" s="51" t="s">
        <v>381</v>
      </c>
      <c r="B647" s="111" t="s">
        <v>649</v>
      </c>
      <c r="C647" s="21" t="s">
        <v>490</v>
      </c>
      <c r="D647" s="28"/>
      <c r="E647" s="111"/>
      <c r="F647" s="112">
        <f>F648</f>
        <v>1500</v>
      </c>
      <c r="G647" s="134">
        <f t="shared" si="233"/>
        <v>0</v>
      </c>
      <c r="H647" s="134">
        <f t="shared" si="233"/>
        <v>0</v>
      </c>
      <c r="I647" s="134">
        <f t="shared" si="222"/>
        <v>0</v>
      </c>
    </row>
    <row r="648" spans="1:9" s="35" customFormat="1" ht="15">
      <c r="A648" s="69" t="s">
        <v>385</v>
      </c>
      <c r="B648" s="111" t="s">
        <v>649</v>
      </c>
      <c r="C648" s="21" t="s">
        <v>490</v>
      </c>
      <c r="D648" s="21" t="s">
        <v>484</v>
      </c>
      <c r="E648" s="111"/>
      <c r="F648" s="112">
        <f>F649</f>
        <v>1500</v>
      </c>
      <c r="G648" s="134">
        <f t="shared" si="233"/>
        <v>0</v>
      </c>
      <c r="H648" s="134">
        <f t="shared" si="233"/>
        <v>0</v>
      </c>
      <c r="I648" s="134">
        <f t="shared" si="222"/>
        <v>0</v>
      </c>
    </row>
    <row r="649" spans="1:9" s="35" customFormat="1" ht="24">
      <c r="A649" s="119" t="s">
        <v>226</v>
      </c>
      <c r="B649" s="120" t="s">
        <v>649</v>
      </c>
      <c r="C649" s="120" t="s">
        <v>490</v>
      </c>
      <c r="D649" s="120" t="s">
        <v>484</v>
      </c>
      <c r="E649" s="120" t="s">
        <v>434</v>
      </c>
      <c r="F649" s="121">
        <f>F650</f>
        <v>1500</v>
      </c>
      <c r="G649" s="135">
        <f t="shared" si="233"/>
        <v>0</v>
      </c>
      <c r="H649" s="135">
        <f t="shared" si="233"/>
        <v>0</v>
      </c>
      <c r="I649" s="135">
        <f t="shared" si="222"/>
        <v>0</v>
      </c>
    </row>
    <row r="650" spans="1:9" s="35" customFormat="1" ht="15">
      <c r="A650" s="119" t="s">
        <v>435</v>
      </c>
      <c r="B650" s="120" t="s">
        <v>649</v>
      </c>
      <c r="C650" s="120" t="s">
        <v>490</v>
      </c>
      <c r="D650" s="120" t="s">
        <v>484</v>
      </c>
      <c r="E650" s="120" t="s">
        <v>436</v>
      </c>
      <c r="F650" s="121">
        <f>2000-500</f>
        <v>1500</v>
      </c>
      <c r="G650" s="135">
        <v>0</v>
      </c>
      <c r="H650" s="135">
        <v>0</v>
      </c>
      <c r="I650" s="135">
        <f t="shared" si="222"/>
        <v>0</v>
      </c>
    </row>
    <row r="651" spans="1:9" s="35" customFormat="1" ht="24">
      <c r="A651" s="110" t="s">
        <v>706</v>
      </c>
      <c r="B651" s="111" t="s">
        <v>650</v>
      </c>
      <c r="C651" s="111"/>
      <c r="D651" s="111"/>
      <c r="E651" s="111"/>
      <c r="F651" s="112">
        <f>F652</f>
        <v>18000</v>
      </c>
      <c r="G651" s="112">
        <f t="shared" ref="G651:H654" si="234">G652</f>
        <v>17972.05</v>
      </c>
      <c r="H651" s="112">
        <f t="shared" si="234"/>
        <v>17972.05</v>
      </c>
      <c r="I651" s="112">
        <f t="shared" si="222"/>
        <v>99.844722222222217</v>
      </c>
    </row>
    <row r="652" spans="1:9" s="35" customFormat="1" ht="15">
      <c r="A652" s="69" t="s">
        <v>396</v>
      </c>
      <c r="B652" s="111" t="s">
        <v>650</v>
      </c>
      <c r="C652" s="21" t="s">
        <v>488</v>
      </c>
      <c r="D652" s="21"/>
      <c r="E652" s="111"/>
      <c r="F652" s="112">
        <f>F653</f>
        <v>18000</v>
      </c>
      <c r="G652" s="112">
        <f t="shared" si="234"/>
        <v>17972.05</v>
      </c>
      <c r="H652" s="112">
        <f t="shared" si="234"/>
        <v>17972.05</v>
      </c>
      <c r="I652" s="112">
        <f t="shared" si="222"/>
        <v>99.844722222222217</v>
      </c>
    </row>
    <row r="653" spans="1:9" s="35" customFormat="1" ht="15">
      <c r="A653" s="69" t="s">
        <v>468</v>
      </c>
      <c r="B653" s="111" t="s">
        <v>650</v>
      </c>
      <c r="C653" s="21" t="s">
        <v>488</v>
      </c>
      <c r="D653" s="21" t="s">
        <v>78</v>
      </c>
      <c r="E653" s="111"/>
      <c r="F653" s="112">
        <f>F654</f>
        <v>18000</v>
      </c>
      <c r="G653" s="112">
        <f t="shared" si="234"/>
        <v>17972.05</v>
      </c>
      <c r="H653" s="112">
        <f t="shared" si="234"/>
        <v>17972.05</v>
      </c>
      <c r="I653" s="112">
        <f t="shared" si="222"/>
        <v>99.844722222222217</v>
      </c>
    </row>
    <row r="654" spans="1:9" s="35" customFormat="1" ht="24">
      <c r="A654" s="119" t="s">
        <v>226</v>
      </c>
      <c r="B654" s="120" t="s">
        <v>650</v>
      </c>
      <c r="C654" s="120" t="s">
        <v>488</v>
      </c>
      <c r="D654" s="120" t="s">
        <v>78</v>
      </c>
      <c r="E654" s="120" t="s">
        <v>434</v>
      </c>
      <c r="F654" s="121">
        <f>F655</f>
        <v>18000</v>
      </c>
      <c r="G654" s="121">
        <f t="shared" si="234"/>
        <v>17972.05</v>
      </c>
      <c r="H654" s="121">
        <f t="shared" si="234"/>
        <v>17972.05</v>
      </c>
      <c r="I654" s="121">
        <f t="shared" si="222"/>
        <v>99.844722222222217</v>
      </c>
    </row>
    <row r="655" spans="1:9" s="35" customFormat="1" ht="15">
      <c r="A655" s="119" t="s">
        <v>435</v>
      </c>
      <c r="B655" s="120" t="s">
        <v>650</v>
      </c>
      <c r="C655" s="120" t="s">
        <v>488</v>
      </c>
      <c r="D655" s="120" t="s">
        <v>78</v>
      </c>
      <c r="E655" s="120" t="s">
        <v>436</v>
      </c>
      <c r="F655" s="121">
        <f>10000+8000</f>
        <v>18000</v>
      </c>
      <c r="G655" s="121">
        <v>17972.05</v>
      </c>
      <c r="H655" s="121">
        <v>17972.05</v>
      </c>
      <c r="I655" s="121">
        <f t="shared" si="222"/>
        <v>99.844722222222217</v>
      </c>
    </row>
    <row r="656" spans="1:9" s="35" customFormat="1" ht="15">
      <c r="A656" s="110" t="s">
        <v>227</v>
      </c>
      <c r="B656" s="111" t="s">
        <v>639</v>
      </c>
      <c r="C656" s="111"/>
      <c r="D656" s="111"/>
      <c r="E656" s="111"/>
      <c r="F656" s="112">
        <f>F657</f>
        <v>2038</v>
      </c>
      <c r="G656" s="112">
        <f t="shared" ref="G656:H659" si="235">G657</f>
        <v>1646.066</v>
      </c>
      <c r="H656" s="112">
        <f t="shared" si="235"/>
        <v>2000</v>
      </c>
      <c r="I656" s="112">
        <f t="shared" si="222"/>
        <v>98.135426889106967</v>
      </c>
    </row>
    <row r="657" spans="1:9" s="35" customFormat="1" ht="15">
      <c r="A657" s="51" t="s">
        <v>363</v>
      </c>
      <c r="B657" s="111" t="s">
        <v>639</v>
      </c>
      <c r="C657" s="21" t="s">
        <v>78</v>
      </c>
      <c r="D657" s="21"/>
      <c r="E657" s="111"/>
      <c r="F657" s="112">
        <f>F658</f>
        <v>2038</v>
      </c>
      <c r="G657" s="112">
        <f t="shared" si="235"/>
        <v>1646.066</v>
      </c>
      <c r="H657" s="112">
        <f t="shared" si="235"/>
        <v>2000</v>
      </c>
      <c r="I657" s="112">
        <f t="shared" si="222"/>
        <v>98.135426889106967</v>
      </c>
    </row>
    <row r="658" spans="1:9" s="35" customFormat="1" ht="15">
      <c r="A658" s="51" t="s">
        <v>405</v>
      </c>
      <c r="B658" s="111" t="s">
        <v>639</v>
      </c>
      <c r="C658" s="21" t="s">
        <v>78</v>
      </c>
      <c r="D658" s="21" t="s">
        <v>489</v>
      </c>
      <c r="E658" s="111"/>
      <c r="F658" s="112">
        <f>F659</f>
        <v>2038</v>
      </c>
      <c r="G658" s="112">
        <f t="shared" si="235"/>
        <v>1646.066</v>
      </c>
      <c r="H658" s="112">
        <f t="shared" si="235"/>
        <v>2000</v>
      </c>
      <c r="I658" s="112">
        <f t="shared" si="222"/>
        <v>98.135426889106967</v>
      </c>
    </row>
    <row r="659" spans="1:9" s="35" customFormat="1" ht="15">
      <c r="A659" s="119" t="s">
        <v>301</v>
      </c>
      <c r="B659" s="120" t="s">
        <v>639</v>
      </c>
      <c r="C659" s="120" t="s">
        <v>78</v>
      </c>
      <c r="D659" s="120" t="s">
        <v>489</v>
      </c>
      <c r="E659" s="120" t="s">
        <v>84</v>
      </c>
      <c r="F659" s="121">
        <f>F660</f>
        <v>2038</v>
      </c>
      <c r="G659" s="121">
        <f t="shared" si="235"/>
        <v>1646.066</v>
      </c>
      <c r="H659" s="121">
        <f t="shared" si="235"/>
        <v>2000</v>
      </c>
      <c r="I659" s="121">
        <f t="shared" si="222"/>
        <v>98.135426889106967</v>
      </c>
    </row>
    <row r="660" spans="1:9" s="35" customFormat="1" ht="24">
      <c r="A660" s="119" t="s">
        <v>85</v>
      </c>
      <c r="B660" s="120" t="s">
        <v>639</v>
      </c>
      <c r="C660" s="120" t="s">
        <v>78</v>
      </c>
      <c r="D660" s="120" t="s">
        <v>489</v>
      </c>
      <c r="E660" s="120" t="s">
        <v>86</v>
      </c>
      <c r="F660" s="121">
        <f>3000-962</f>
        <v>2038</v>
      </c>
      <c r="G660" s="121">
        <v>1646.066</v>
      </c>
      <c r="H660" s="121">
        <f>2038-38</f>
        <v>2000</v>
      </c>
      <c r="I660" s="121">
        <f t="shared" si="222"/>
        <v>98.135426889106967</v>
      </c>
    </row>
    <row r="661" spans="1:9" s="35" customFormat="1" ht="15">
      <c r="A661" s="141" t="s">
        <v>642</v>
      </c>
      <c r="B661" s="111" t="s">
        <v>643</v>
      </c>
      <c r="C661" s="111"/>
      <c r="D661" s="111"/>
      <c r="E661" s="111"/>
      <c r="F661" s="112">
        <f>F662</f>
        <v>10000</v>
      </c>
      <c r="G661" s="112">
        <f t="shared" ref="G661:H664" si="236">G662</f>
        <v>9013.6043000000009</v>
      </c>
      <c r="H661" s="112">
        <f t="shared" si="236"/>
        <v>10000</v>
      </c>
      <c r="I661" s="112">
        <f t="shared" si="222"/>
        <v>100</v>
      </c>
    </row>
    <row r="662" spans="1:9" s="35" customFormat="1" ht="15">
      <c r="A662" s="51" t="s">
        <v>375</v>
      </c>
      <c r="B662" s="111" t="s">
        <v>643</v>
      </c>
      <c r="C662" s="21" t="s">
        <v>432</v>
      </c>
      <c r="D662" s="21"/>
      <c r="E662" s="111"/>
      <c r="F662" s="112">
        <f>F663</f>
        <v>10000</v>
      </c>
      <c r="G662" s="112">
        <f t="shared" si="236"/>
        <v>9013.6043000000009</v>
      </c>
      <c r="H662" s="112">
        <f t="shared" si="236"/>
        <v>10000</v>
      </c>
      <c r="I662" s="112">
        <f t="shared" si="222"/>
        <v>100</v>
      </c>
    </row>
    <row r="663" spans="1:9" s="35" customFormat="1" ht="15">
      <c r="A663" s="51" t="s">
        <v>379</v>
      </c>
      <c r="B663" s="111" t="s">
        <v>643</v>
      </c>
      <c r="C663" s="21" t="s">
        <v>432</v>
      </c>
      <c r="D663" s="21" t="s">
        <v>483</v>
      </c>
      <c r="E663" s="111"/>
      <c r="F663" s="112">
        <f>F664</f>
        <v>10000</v>
      </c>
      <c r="G663" s="112">
        <f t="shared" si="236"/>
        <v>9013.6043000000009</v>
      </c>
      <c r="H663" s="112">
        <f t="shared" si="236"/>
        <v>10000</v>
      </c>
      <c r="I663" s="112">
        <f t="shared" si="222"/>
        <v>100</v>
      </c>
    </row>
    <row r="664" spans="1:9" s="35" customFormat="1" ht="15">
      <c r="A664" s="119" t="s">
        <v>189</v>
      </c>
      <c r="B664" s="120" t="s">
        <v>643</v>
      </c>
      <c r="C664" s="120" t="s">
        <v>432</v>
      </c>
      <c r="D664" s="120" t="s">
        <v>483</v>
      </c>
      <c r="E664" s="120" t="s">
        <v>84</v>
      </c>
      <c r="F664" s="121">
        <f>F665</f>
        <v>10000</v>
      </c>
      <c r="G664" s="121">
        <f t="shared" si="236"/>
        <v>9013.6043000000009</v>
      </c>
      <c r="H664" s="121">
        <f t="shared" si="236"/>
        <v>10000</v>
      </c>
      <c r="I664" s="121">
        <f t="shared" si="222"/>
        <v>100</v>
      </c>
    </row>
    <row r="665" spans="1:9" s="35" customFormat="1" ht="24">
      <c r="A665" s="119" t="s">
        <v>85</v>
      </c>
      <c r="B665" s="120" t="s">
        <v>643</v>
      </c>
      <c r="C665" s="120" t="s">
        <v>432</v>
      </c>
      <c r="D665" s="120" t="s">
        <v>483</v>
      </c>
      <c r="E665" s="120" t="s">
        <v>86</v>
      </c>
      <c r="F665" s="121">
        <v>10000</v>
      </c>
      <c r="G665" s="121">
        <v>9013.6043000000009</v>
      </c>
      <c r="H665" s="121">
        <v>10000</v>
      </c>
      <c r="I665" s="121">
        <f t="shared" si="222"/>
        <v>100</v>
      </c>
    </row>
    <row r="666" spans="1:9" s="35" customFormat="1" ht="15">
      <c r="A666" s="110" t="s">
        <v>644</v>
      </c>
      <c r="B666" s="111" t="s">
        <v>645</v>
      </c>
      <c r="C666" s="111"/>
      <c r="D666" s="111"/>
      <c r="E666" s="111"/>
      <c r="F666" s="112">
        <f>F667</f>
        <v>3600</v>
      </c>
      <c r="G666" s="112">
        <f t="shared" ref="G666:H669" si="237">G667</f>
        <v>2706.3270000000002</v>
      </c>
      <c r="H666" s="112">
        <f t="shared" si="237"/>
        <v>2706.3270000000002</v>
      </c>
      <c r="I666" s="112">
        <f t="shared" si="222"/>
        <v>75.175750000000008</v>
      </c>
    </row>
    <row r="667" spans="1:9" s="35" customFormat="1" ht="15">
      <c r="A667" s="51" t="s">
        <v>375</v>
      </c>
      <c r="B667" s="111" t="s">
        <v>645</v>
      </c>
      <c r="C667" s="21" t="s">
        <v>432</v>
      </c>
      <c r="D667" s="21"/>
      <c r="E667" s="111"/>
      <c r="F667" s="112">
        <f>F668</f>
        <v>3600</v>
      </c>
      <c r="G667" s="112">
        <f t="shared" si="237"/>
        <v>2706.3270000000002</v>
      </c>
      <c r="H667" s="112">
        <f t="shared" si="237"/>
        <v>2706.3270000000002</v>
      </c>
      <c r="I667" s="112">
        <f t="shared" si="222"/>
        <v>75.175750000000008</v>
      </c>
    </row>
    <row r="668" spans="1:9" s="35" customFormat="1" ht="15">
      <c r="A668" s="51" t="s">
        <v>379</v>
      </c>
      <c r="B668" s="111" t="s">
        <v>645</v>
      </c>
      <c r="C668" s="21" t="s">
        <v>432</v>
      </c>
      <c r="D668" s="21" t="s">
        <v>483</v>
      </c>
      <c r="E668" s="111"/>
      <c r="F668" s="112">
        <f>F669</f>
        <v>3600</v>
      </c>
      <c r="G668" s="112">
        <f t="shared" si="237"/>
        <v>2706.3270000000002</v>
      </c>
      <c r="H668" s="112">
        <f t="shared" si="237"/>
        <v>2706.3270000000002</v>
      </c>
      <c r="I668" s="112">
        <f t="shared" ref="I668:I699" si="238">H668/F668*100</f>
        <v>75.175750000000008</v>
      </c>
    </row>
    <row r="669" spans="1:9" s="35" customFormat="1" ht="15">
      <c r="A669" s="119" t="s">
        <v>189</v>
      </c>
      <c r="B669" s="120" t="s">
        <v>645</v>
      </c>
      <c r="C669" s="120" t="s">
        <v>432</v>
      </c>
      <c r="D669" s="120" t="s">
        <v>483</v>
      </c>
      <c r="E669" s="120" t="s">
        <v>84</v>
      </c>
      <c r="F669" s="121">
        <f>F670</f>
        <v>3600</v>
      </c>
      <c r="G669" s="121">
        <f t="shared" si="237"/>
        <v>2706.3270000000002</v>
      </c>
      <c r="H669" s="121">
        <f t="shared" si="237"/>
        <v>2706.3270000000002</v>
      </c>
      <c r="I669" s="121">
        <f t="shared" si="238"/>
        <v>75.175750000000008</v>
      </c>
    </row>
    <row r="670" spans="1:9" s="35" customFormat="1" ht="24">
      <c r="A670" s="119" t="s">
        <v>85</v>
      </c>
      <c r="B670" s="120" t="s">
        <v>645</v>
      </c>
      <c r="C670" s="120" t="s">
        <v>432</v>
      </c>
      <c r="D670" s="120" t="s">
        <v>483</v>
      </c>
      <c r="E670" s="120" t="s">
        <v>86</v>
      </c>
      <c r="F670" s="121">
        <v>3600</v>
      </c>
      <c r="G670" s="121">
        <v>2706.3270000000002</v>
      </c>
      <c r="H670" s="121">
        <v>2706.3270000000002</v>
      </c>
      <c r="I670" s="121">
        <f t="shared" si="238"/>
        <v>75.175750000000008</v>
      </c>
    </row>
    <row r="671" spans="1:9" s="35" customFormat="1" ht="15">
      <c r="A671" s="110" t="s">
        <v>703</v>
      </c>
      <c r="B671" s="111" t="s">
        <v>700</v>
      </c>
      <c r="C671" s="111"/>
      <c r="D671" s="111"/>
      <c r="E671" s="120"/>
      <c r="F671" s="112">
        <f>F672</f>
        <v>100000</v>
      </c>
      <c r="G671" s="112">
        <f t="shared" ref="G671:H674" si="239">G672</f>
        <v>87735.337549999997</v>
      </c>
      <c r="H671" s="112">
        <f t="shared" si="239"/>
        <v>100000</v>
      </c>
      <c r="I671" s="112">
        <f t="shared" si="238"/>
        <v>100</v>
      </c>
    </row>
    <row r="672" spans="1:9" s="35" customFormat="1" ht="15">
      <c r="A672" s="51" t="s">
        <v>375</v>
      </c>
      <c r="B672" s="111" t="s">
        <v>700</v>
      </c>
      <c r="C672" s="111" t="s">
        <v>432</v>
      </c>
      <c r="D672" s="111"/>
      <c r="E672" s="120"/>
      <c r="F672" s="112">
        <f>F673</f>
        <v>100000</v>
      </c>
      <c r="G672" s="112">
        <f t="shared" si="239"/>
        <v>87735.337549999997</v>
      </c>
      <c r="H672" s="112">
        <f t="shared" si="239"/>
        <v>100000</v>
      </c>
      <c r="I672" s="112">
        <f t="shared" si="238"/>
        <v>100</v>
      </c>
    </row>
    <row r="673" spans="1:9" s="35" customFormat="1" ht="15">
      <c r="A673" s="51" t="s">
        <v>379</v>
      </c>
      <c r="B673" s="111" t="s">
        <v>700</v>
      </c>
      <c r="C673" s="111" t="s">
        <v>432</v>
      </c>
      <c r="D673" s="111" t="s">
        <v>483</v>
      </c>
      <c r="E673" s="120"/>
      <c r="F673" s="112">
        <f>F674</f>
        <v>100000</v>
      </c>
      <c r="G673" s="112">
        <f t="shared" si="239"/>
        <v>87735.337549999997</v>
      </c>
      <c r="H673" s="112">
        <f t="shared" si="239"/>
        <v>100000</v>
      </c>
      <c r="I673" s="112">
        <f t="shared" si="238"/>
        <v>100</v>
      </c>
    </row>
    <row r="674" spans="1:9" s="35" customFormat="1" ht="15">
      <c r="A674" s="119" t="s">
        <v>189</v>
      </c>
      <c r="B674" s="120" t="s">
        <v>700</v>
      </c>
      <c r="C674" s="120" t="s">
        <v>432</v>
      </c>
      <c r="D674" s="120" t="s">
        <v>483</v>
      </c>
      <c r="E674" s="120" t="s">
        <v>84</v>
      </c>
      <c r="F674" s="121">
        <f>F675</f>
        <v>100000</v>
      </c>
      <c r="G674" s="121">
        <f t="shared" si="239"/>
        <v>87735.337549999997</v>
      </c>
      <c r="H674" s="121">
        <f t="shared" si="239"/>
        <v>100000</v>
      </c>
      <c r="I674" s="121">
        <f t="shared" si="238"/>
        <v>100</v>
      </c>
    </row>
    <row r="675" spans="1:9" s="35" customFormat="1" ht="24">
      <c r="A675" s="119" t="s">
        <v>85</v>
      </c>
      <c r="B675" s="120" t="s">
        <v>700</v>
      </c>
      <c r="C675" s="120" t="s">
        <v>432</v>
      </c>
      <c r="D675" s="120" t="s">
        <v>483</v>
      </c>
      <c r="E675" s="120" t="s">
        <v>86</v>
      </c>
      <c r="F675" s="121">
        <v>100000</v>
      </c>
      <c r="G675" s="121">
        <v>87735.337549999997</v>
      </c>
      <c r="H675" s="121">
        <v>100000</v>
      </c>
      <c r="I675" s="121">
        <f t="shared" si="238"/>
        <v>100</v>
      </c>
    </row>
    <row r="676" spans="1:9" s="35" customFormat="1" ht="24">
      <c r="A676" s="110" t="s">
        <v>755</v>
      </c>
      <c r="B676" s="111" t="s">
        <v>756</v>
      </c>
      <c r="C676" s="120"/>
      <c r="D676" s="120"/>
      <c r="E676" s="120"/>
      <c r="F676" s="112">
        <f>F677</f>
        <v>11000</v>
      </c>
      <c r="G676" s="112">
        <f t="shared" ref="G676:H679" si="240">G677</f>
        <v>1132.69658</v>
      </c>
      <c r="H676" s="112">
        <f t="shared" si="240"/>
        <v>11000</v>
      </c>
      <c r="I676" s="112">
        <f t="shared" si="238"/>
        <v>100</v>
      </c>
    </row>
    <row r="677" spans="1:9" s="35" customFormat="1" ht="15">
      <c r="A677" s="51" t="s">
        <v>375</v>
      </c>
      <c r="B677" s="111" t="s">
        <v>756</v>
      </c>
      <c r="C677" s="111" t="s">
        <v>432</v>
      </c>
      <c r="D677" s="111"/>
      <c r="E677" s="120"/>
      <c r="F677" s="112">
        <f>F678</f>
        <v>11000</v>
      </c>
      <c r="G677" s="112">
        <f t="shared" si="240"/>
        <v>1132.69658</v>
      </c>
      <c r="H677" s="112">
        <f t="shared" si="240"/>
        <v>11000</v>
      </c>
      <c r="I677" s="112">
        <f t="shared" si="238"/>
        <v>100</v>
      </c>
    </row>
    <row r="678" spans="1:9" s="35" customFormat="1" ht="15">
      <c r="A678" s="51" t="s">
        <v>379</v>
      </c>
      <c r="B678" s="111" t="s">
        <v>756</v>
      </c>
      <c r="C678" s="111" t="s">
        <v>432</v>
      </c>
      <c r="D678" s="111" t="s">
        <v>483</v>
      </c>
      <c r="E678" s="120"/>
      <c r="F678" s="112">
        <f>F679</f>
        <v>11000</v>
      </c>
      <c r="G678" s="112">
        <f t="shared" si="240"/>
        <v>1132.69658</v>
      </c>
      <c r="H678" s="112">
        <f t="shared" si="240"/>
        <v>11000</v>
      </c>
      <c r="I678" s="112">
        <f t="shared" si="238"/>
        <v>100</v>
      </c>
    </row>
    <row r="679" spans="1:9" s="35" customFormat="1" ht="15">
      <c r="A679" s="119" t="s">
        <v>189</v>
      </c>
      <c r="B679" s="120" t="s">
        <v>756</v>
      </c>
      <c r="C679" s="120" t="s">
        <v>432</v>
      </c>
      <c r="D679" s="120" t="s">
        <v>483</v>
      </c>
      <c r="E679" s="120" t="s">
        <v>84</v>
      </c>
      <c r="F679" s="121">
        <f>F680</f>
        <v>11000</v>
      </c>
      <c r="G679" s="121">
        <f t="shared" si="240"/>
        <v>1132.69658</v>
      </c>
      <c r="H679" s="121">
        <f t="shared" si="240"/>
        <v>11000</v>
      </c>
      <c r="I679" s="121">
        <f t="shared" si="238"/>
        <v>100</v>
      </c>
    </row>
    <row r="680" spans="1:9" s="35" customFormat="1" ht="24">
      <c r="A680" s="119" t="s">
        <v>85</v>
      </c>
      <c r="B680" s="120" t="s">
        <v>756</v>
      </c>
      <c r="C680" s="120" t="s">
        <v>432</v>
      </c>
      <c r="D680" s="120" t="s">
        <v>483</v>
      </c>
      <c r="E680" s="120" t="s">
        <v>86</v>
      </c>
      <c r="F680" s="121">
        <v>11000</v>
      </c>
      <c r="G680" s="121">
        <v>1132.69658</v>
      </c>
      <c r="H680" s="121">
        <v>11000</v>
      </c>
      <c r="I680" s="121">
        <f t="shared" si="238"/>
        <v>100</v>
      </c>
    </row>
    <row r="681" spans="1:9" s="35" customFormat="1" ht="15">
      <c r="A681" s="110" t="s">
        <v>704</v>
      </c>
      <c r="B681" s="111" t="s">
        <v>705</v>
      </c>
      <c r="C681" s="111" t="s">
        <v>432</v>
      </c>
      <c r="D681" s="111" t="s">
        <v>483</v>
      </c>
      <c r="E681" s="120"/>
      <c r="F681" s="134">
        <f>F682</f>
        <v>50000</v>
      </c>
      <c r="G681" s="134">
        <f t="shared" ref="G681:H682" si="241">G682</f>
        <v>0</v>
      </c>
      <c r="H681" s="134">
        <f t="shared" si="241"/>
        <v>50000</v>
      </c>
      <c r="I681" s="112">
        <f t="shared" si="238"/>
        <v>100</v>
      </c>
    </row>
    <row r="682" spans="1:9" s="35" customFormat="1" ht="15">
      <c r="A682" s="119" t="s">
        <v>189</v>
      </c>
      <c r="B682" s="120" t="s">
        <v>705</v>
      </c>
      <c r="C682" s="120" t="s">
        <v>432</v>
      </c>
      <c r="D682" s="120" t="s">
        <v>483</v>
      </c>
      <c r="E682" s="120" t="s">
        <v>84</v>
      </c>
      <c r="F682" s="135">
        <f>F683</f>
        <v>50000</v>
      </c>
      <c r="G682" s="135">
        <f t="shared" si="241"/>
        <v>0</v>
      </c>
      <c r="H682" s="135">
        <f t="shared" si="241"/>
        <v>50000</v>
      </c>
      <c r="I682" s="121">
        <f t="shared" si="238"/>
        <v>100</v>
      </c>
    </row>
    <row r="683" spans="1:9" s="35" customFormat="1" ht="24">
      <c r="A683" s="119" t="s">
        <v>85</v>
      </c>
      <c r="B683" s="120" t="s">
        <v>705</v>
      </c>
      <c r="C683" s="120" t="s">
        <v>432</v>
      </c>
      <c r="D683" s="120" t="s">
        <v>483</v>
      </c>
      <c r="E683" s="120" t="s">
        <v>86</v>
      </c>
      <c r="F683" s="135">
        <v>50000</v>
      </c>
      <c r="G683" s="135">
        <v>0</v>
      </c>
      <c r="H683" s="135">
        <v>50000</v>
      </c>
      <c r="I683" s="121">
        <f t="shared" si="238"/>
        <v>100</v>
      </c>
    </row>
    <row r="684" spans="1:9" s="35" customFormat="1" ht="72" customHeight="1">
      <c r="A684" s="51" t="s">
        <v>753</v>
      </c>
      <c r="B684" s="21" t="s">
        <v>750</v>
      </c>
      <c r="C684" s="21" t="s">
        <v>432</v>
      </c>
      <c r="D684" s="21" t="s">
        <v>76</v>
      </c>
      <c r="E684" s="21"/>
      <c r="F684" s="134">
        <f>F685</f>
        <v>54171.156999999999</v>
      </c>
      <c r="G684" s="134">
        <f t="shared" ref="G684:H685" si="242">G685</f>
        <v>54171.156999999999</v>
      </c>
      <c r="H684" s="134">
        <f t="shared" si="242"/>
        <v>54171.156999999999</v>
      </c>
      <c r="I684" s="112">
        <f t="shared" si="238"/>
        <v>100</v>
      </c>
    </row>
    <row r="685" spans="1:9" s="35" customFormat="1" ht="24">
      <c r="A685" s="72" t="s">
        <v>226</v>
      </c>
      <c r="B685" s="28" t="s">
        <v>750</v>
      </c>
      <c r="C685" s="28" t="s">
        <v>432</v>
      </c>
      <c r="D685" s="28" t="s">
        <v>76</v>
      </c>
      <c r="E685" s="28" t="s">
        <v>434</v>
      </c>
      <c r="F685" s="135">
        <f>F686</f>
        <v>54171.156999999999</v>
      </c>
      <c r="G685" s="135">
        <f t="shared" si="242"/>
        <v>54171.156999999999</v>
      </c>
      <c r="H685" s="135">
        <f t="shared" si="242"/>
        <v>54171.156999999999</v>
      </c>
      <c r="I685" s="121">
        <f t="shared" si="238"/>
        <v>100</v>
      </c>
    </row>
    <row r="686" spans="1:9" s="35" customFormat="1" ht="15">
      <c r="A686" s="72" t="s">
        <v>435</v>
      </c>
      <c r="B686" s="28" t="s">
        <v>750</v>
      </c>
      <c r="C686" s="28" t="s">
        <v>432</v>
      </c>
      <c r="D686" s="28" t="s">
        <v>76</v>
      </c>
      <c r="E686" s="28" t="s">
        <v>436</v>
      </c>
      <c r="F686" s="135">
        <v>54171.156999999999</v>
      </c>
      <c r="G686" s="135">
        <v>54171.156999999999</v>
      </c>
      <c r="H686" s="135">
        <v>54171.156999999999</v>
      </c>
      <c r="I686" s="121">
        <f t="shared" si="238"/>
        <v>100</v>
      </c>
    </row>
    <row r="687" spans="1:9" s="35" customFormat="1" ht="48">
      <c r="A687" s="69" t="s">
        <v>751</v>
      </c>
      <c r="B687" s="21" t="s">
        <v>752</v>
      </c>
      <c r="C687" s="21" t="s">
        <v>432</v>
      </c>
      <c r="D687" s="21" t="s">
        <v>76</v>
      </c>
      <c r="E687" s="21"/>
      <c r="F687" s="134">
        <f>F688</f>
        <v>2759.0907900000002</v>
      </c>
      <c r="G687" s="134">
        <f t="shared" ref="G687:H688" si="243">G688</f>
        <v>2759.0907900000002</v>
      </c>
      <c r="H687" s="134">
        <f t="shared" si="243"/>
        <v>2759.0907900000002</v>
      </c>
      <c r="I687" s="112">
        <f t="shared" si="238"/>
        <v>100</v>
      </c>
    </row>
    <row r="688" spans="1:9" s="35" customFormat="1" ht="24">
      <c r="A688" s="72" t="s">
        <v>226</v>
      </c>
      <c r="B688" s="28" t="s">
        <v>752</v>
      </c>
      <c r="C688" s="28" t="s">
        <v>432</v>
      </c>
      <c r="D688" s="28" t="s">
        <v>76</v>
      </c>
      <c r="E688" s="28" t="s">
        <v>434</v>
      </c>
      <c r="F688" s="135">
        <f>F689</f>
        <v>2759.0907900000002</v>
      </c>
      <c r="G688" s="135">
        <f t="shared" si="243"/>
        <v>2759.0907900000002</v>
      </c>
      <c r="H688" s="135">
        <f t="shared" si="243"/>
        <v>2759.0907900000002</v>
      </c>
      <c r="I688" s="121">
        <f t="shared" si="238"/>
        <v>100</v>
      </c>
    </row>
    <row r="689" spans="1:9" s="35" customFormat="1" ht="15">
      <c r="A689" s="72" t="s">
        <v>435</v>
      </c>
      <c r="B689" s="28" t="s">
        <v>752</v>
      </c>
      <c r="C689" s="28" t="s">
        <v>432</v>
      </c>
      <c r="D689" s="28" t="s">
        <v>76</v>
      </c>
      <c r="E689" s="28" t="s">
        <v>436</v>
      </c>
      <c r="F689" s="135">
        <v>2759.0907900000002</v>
      </c>
      <c r="G689" s="135">
        <v>2759.0907900000002</v>
      </c>
      <c r="H689" s="135">
        <v>2759.0907900000002</v>
      </c>
      <c r="I689" s="121">
        <f t="shared" si="238"/>
        <v>100</v>
      </c>
    </row>
    <row r="690" spans="1:9" s="35" customFormat="1" ht="24">
      <c r="A690" s="110" t="s">
        <v>636</v>
      </c>
      <c r="B690" s="111" t="s">
        <v>637</v>
      </c>
      <c r="C690" s="111"/>
      <c r="D690" s="111"/>
      <c r="E690" s="111"/>
      <c r="F690" s="112">
        <f>F691</f>
        <v>13300</v>
      </c>
      <c r="G690" s="112">
        <f t="shared" ref="G690:H693" si="244">G691</f>
        <v>13261.75621</v>
      </c>
      <c r="H690" s="112">
        <f t="shared" si="244"/>
        <v>13300</v>
      </c>
      <c r="I690" s="112">
        <f t="shared" si="238"/>
        <v>100</v>
      </c>
    </row>
    <row r="691" spans="1:9" s="35" customFormat="1" ht="15">
      <c r="A691" s="51" t="s">
        <v>375</v>
      </c>
      <c r="B691" s="111" t="s">
        <v>637</v>
      </c>
      <c r="C691" s="21" t="s">
        <v>432</v>
      </c>
      <c r="D691" s="21"/>
      <c r="E691" s="111"/>
      <c r="F691" s="112">
        <f>F692</f>
        <v>13300</v>
      </c>
      <c r="G691" s="112">
        <f t="shared" si="244"/>
        <v>13261.75621</v>
      </c>
      <c r="H691" s="112">
        <f t="shared" si="244"/>
        <v>13300</v>
      </c>
      <c r="I691" s="112">
        <f t="shared" si="238"/>
        <v>100</v>
      </c>
    </row>
    <row r="692" spans="1:9" s="35" customFormat="1" ht="15">
      <c r="A692" s="51" t="s">
        <v>376</v>
      </c>
      <c r="B692" s="111" t="s">
        <v>637</v>
      </c>
      <c r="C692" s="21" t="s">
        <v>432</v>
      </c>
      <c r="D692" s="21" t="s">
        <v>76</v>
      </c>
      <c r="E692" s="111"/>
      <c r="F692" s="112">
        <f>F693</f>
        <v>13300</v>
      </c>
      <c r="G692" s="112">
        <f t="shared" si="244"/>
        <v>13261.75621</v>
      </c>
      <c r="H692" s="112">
        <f t="shared" si="244"/>
        <v>13300</v>
      </c>
      <c r="I692" s="112">
        <f t="shared" si="238"/>
        <v>100</v>
      </c>
    </row>
    <row r="693" spans="1:9" s="35" customFormat="1" ht="24">
      <c r="A693" s="119" t="s">
        <v>226</v>
      </c>
      <c r="B693" s="120" t="s">
        <v>637</v>
      </c>
      <c r="C693" s="120" t="s">
        <v>432</v>
      </c>
      <c r="D693" s="120" t="s">
        <v>76</v>
      </c>
      <c r="E693" s="120" t="s">
        <v>434</v>
      </c>
      <c r="F693" s="121">
        <f>F694</f>
        <v>13300</v>
      </c>
      <c r="G693" s="121">
        <f t="shared" si="244"/>
        <v>13261.75621</v>
      </c>
      <c r="H693" s="121">
        <f t="shared" si="244"/>
        <v>13300</v>
      </c>
      <c r="I693" s="121">
        <f t="shared" si="238"/>
        <v>100</v>
      </c>
    </row>
    <row r="694" spans="1:9" s="35" customFormat="1" ht="15">
      <c r="A694" s="119" t="s">
        <v>435</v>
      </c>
      <c r="B694" s="120" t="s">
        <v>637</v>
      </c>
      <c r="C694" s="120" t="s">
        <v>432</v>
      </c>
      <c r="D694" s="120" t="s">
        <v>76</v>
      </c>
      <c r="E694" s="120" t="s">
        <v>436</v>
      </c>
      <c r="F694" s="121">
        <v>13300</v>
      </c>
      <c r="G694" s="121">
        <v>13261.75621</v>
      </c>
      <c r="H694" s="121">
        <v>13300</v>
      </c>
      <c r="I694" s="121">
        <f t="shared" si="238"/>
        <v>100</v>
      </c>
    </row>
    <row r="695" spans="1:9" s="35" customFormat="1" ht="48">
      <c r="A695" s="110" t="s">
        <v>36</v>
      </c>
      <c r="B695" s="111" t="s">
        <v>638</v>
      </c>
      <c r="C695" s="111"/>
      <c r="D695" s="111"/>
      <c r="E695" s="111"/>
      <c r="F695" s="112">
        <f>F696</f>
        <v>1000</v>
      </c>
      <c r="G695" s="112">
        <f t="shared" ref="G695:H698" si="245">G696</f>
        <v>1000</v>
      </c>
      <c r="H695" s="112">
        <f t="shared" si="245"/>
        <v>1000</v>
      </c>
      <c r="I695" s="112">
        <f t="shared" si="238"/>
        <v>100</v>
      </c>
    </row>
    <row r="696" spans="1:9" s="35" customFormat="1" ht="15">
      <c r="A696" s="51" t="s">
        <v>381</v>
      </c>
      <c r="B696" s="111" t="s">
        <v>638</v>
      </c>
      <c r="C696" s="111" t="s">
        <v>490</v>
      </c>
      <c r="D696" s="111"/>
      <c r="E696" s="111"/>
      <c r="F696" s="112">
        <f>F697</f>
        <v>1000</v>
      </c>
      <c r="G696" s="112">
        <f t="shared" si="245"/>
        <v>1000</v>
      </c>
      <c r="H696" s="112">
        <f t="shared" si="245"/>
        <v>1000</v>
      </c>
      <c r="I696" s="112">
        <f t="shared" si="238"/>
        <v>100</v>
      </c>
    </row>
    <row r="697" spans="1:9" s="35" customFormat="1" ht="15">
      <c r="A697" s="54" t="s">
        <v>382</v>
      </c>
      <c r="B697" s="111" t="s">
        <v>638</v>
      </c>
      <c r="C697" s="111" t="s">
        <v>490</v>
      </c>
      <c r="D697" s="111" t="s">
        <v>76</v>
      </c>
      <c r="E697" s="111"/>
      <c r="F697" s="112">
        <f>F698</f>
        <v>1000</v>
      </c>
      <c r="G697" s="112">
        <f t="shared" si="245"/>
        <v>1000</v>
      </c>
      <c r="H697" s="112">
        <f t="shared" si="245"/>
        <v>1000</v>
      </c>
      <c r="I697" s="112">
        <f t="shared" si="238"/>
        <v>100</v>
      </c>
    </row>
    <row r="698" spans="1:9" s="35" customFormat="1" ht="15">
      <c r="A698" s="119" t="s">
        <v>161</v>
      </c>
      <c r="B698" s="120" t="s">
        <v>638</v>
      </c>
      <c r="C698" s="120" t="s">
        <v>490</v>
      </c>
      <c r="D698" s="120" t="s">
        <v>76</v>
      </c>
      <c r="E698" s="120" t="s">
        <v>84</v>
      </c>
      <c r="F698" s="121">
        <f>F699</f>
        <v>1000</v>
      </c>
      <c r="G698" s="121">
        <f t="shared" si="245"/>
        <v>1000</v>
      </c>
      <c r="H698" s="121">
        <f t="shared" si="245"/>
        <v>1000</v>
      </c>
      <c r="I698" s="121">
        <f t="shared" si="238"/>
        <v>100</v>
      </c>
    </row>
    <row r="699" spans="1:9" s="35" customFormat="1" ht="24">
      <c r="A699" s="119" t="s">
        <v>85</v>
      </c>
      <c r="B699" s="120" t="s">
        <v>638</v>
      </c>
      <c r="C699" s="120" t="s">
        <v>490</v>
      </c>
      <c r="D699" s="120" t="s">
        <v>76</v>
      </c>
      <c r="E699" s="120" t="s">
        <v>86</v>
      </c>
      <c r="F699" s="121">
        <f>500+500</f>
        <v>1000</v>
      </c>
      <c r="G699" s="121">
        <v>1000</v>
      </c>
      <c r="H699" s="121">
        <v>1000</v>
      </c>
      <c r="I699" s="121">
        <f t="shared" si="238"/>
        <v>100</v>
      </c>
    </row>
    <row r="700" spans="1:9" s="35" customFormat="1" ht="40.5">
      <c r="A700" s="131" t="s">
        <v>510</v>
      </c>
      <c r="B700" s="132" t="s">
        <v>52</v>
      </c>
      <c r="C700" s="132"/>
      <c r="D700" s="132"/>
      <c r="E700" s="132"/>
      <c r="F700" s="192">
        <f>F701++F707+F713+F720</f>
        <v>41196.300000000003</v>
      </c>
      <c r="G700" s="192">
        <f t="shared" ref="G700:H700" si="246">G701++G707+G713+G720</f>
        <v>24131.11421</v>
      </c>
      <c r="H700" s="192">
        <f t="shared" si="246"/>
        <v>33720.235000000001</v>
      </c>
      <c r="I700" s="192">
        <f>H700/F700*100</f>
        <v>81.852581421147036</v>
      </c>
    </row>
    <row r="701" spans="1:9" s="35" customFormat="1" ht="24">
      <c r="A701" s="65" t="s">
        <v>55</v>
      </c>
      <c r="B701" s="21" t="s">
        <v>56</v>
      </c>
      <c r="C701" s="21"/>
      <c r="D701" s="21"/>
      <c r="E701" s="21"/>
      <c r="F701" s="38">
        <f t="shared" ref="F701:H705" si="247">F702</f>
        <v>3000</v>
      </c>
      <c r="G701" s="38">
        <f t="shared" si="247"/>
        <v>500</v>
      </c>
      <c r="H701" s="38">
        <f t="shared" si="247"/>
        <v>500</v>
      </c>
      <c r="I701" s="112">
        <f t="shared" ref="I701:I733" si="248">H701/F701*100</f>
        <v>16.666666666666664</v>
      </c>
    </row>
    <row r="702" spans="1:9" s="35" customFormat="1" ht="24">
      <c r="A702" s="69" t="s">
        <v>353</v>
      </c>
      <c r="B702" s="21" t="s">
        <v>582</v>
      </c>
      <c r="C702" s="21"/>
      <c r="D702" s="21"/>
      <c r="E702" s="21"/>
      <c r="F702" s="38">
        <f t="shared" si="247"/>
        <v>3000</v>
      </c>
      <c r="G702" s="38">
        <f t="shared" si="247"/>
        <v>500</v>
      </c>
      <c r="H702" s="38">
        <f t="shared" si="247"/>
        <v>500</v>
      </c>
      <c r="I702" s="112">
        <f t="shared" si="248"/>
        <v>16.666666666666664</v>
      </c>
    </row>
    <row r="703" spans="1:9" s="35" customFormat="1" ht="15">
      <c r="A703" s="51" t="s">
        <v>381</v>
      </c>
      <c r="B703" s="21" t="s">
        <v>582</v>
      </c>
      <c r="C703" s="21" t="s">
        <v>490</v>
      </c>
      <c r="D703" s="21"/>
      <c r="E703" s="22"/>
      <c r="F703" s="38">
        <f t="shared" si="247"/>
        <v>3000</v>
      </c>
      <c r="G703" s="38">
        <f t="shared" si="247"/>
        <v>500</v>
      </c>
      <c r="H703" s="38">
        <f t="shared" si="247"/>
        <v>500</v>
      </c>
      <c r="I703" s="112">
        <f t="shared" si="248"/>
        <v>16.666666666666664</v>
      </c>
    </row>
    <row r="704" spans="1:9" s="35" customFormat="1" ht="15">
      <c r="A704" s="51" t="s">
        <v>384</v>
      </c>
      <c r="B704" s="21" t="s">
        <v>582</v>
      </c>
      <c r="C704" s="21" t="s">
        <v>490</v>
      </c>
      <c r="D704" s="21" t="s">
        <v>490</v>
      </c>
      <c r="E704" s="22"/>
      <c r="F704" s="38">
        <f t="shared" si="247"/>
        <v>3000</v>
      </c>
      <c r="G704" s="38">
        <f t="shared" si="247"/>
        <v>500</v>
      </c>
      <c r="H704" s="38">
        <f t="shared" si="247"/>
        <v>500</v>
      </c>
      <c r="I704" s="112">
        <f t="shared" si="248"/>
        <v>16.666666666666664</v>
      </c>
    </row>
    <row r="705" spans="1:9" s="35" customFormat="1" ht="15">
      <c r="A705" s="72" t="s">
        <v>301</v>
      </c>
      <c r="B705" s="28" t="s">
        <v>582</v>
      </c>
      <c r="C705" s="28" t="s">
        <v>490</v>
      </c>
      <c r="D705" s="28" t="s">
        <v>490</v>
      </c>
      <c r="E705" s="28" t="s">
        <v>84</v>
      </c>
      <c r="F705" s="37">
        <f t="shared" si="247"/>
        <v>3000</v>
      </c>
      <c r="G705" s="37">
        <f t="shared" si="247"/>
        <v>500</v>
      </c>
      <c r="H705" s="37">
        <f t="shared" si="247"/>
        <v>500</v>
      </c>
      <c r="I705" s="112">
        <f t="shared" si="248"/>
        <v>16.666666666666664</v>
      </c>
    </row>
    <row r="706" spans="1:9" s="35" customFormat="1" ht="24">
      <c r="A706" s="72" t="s">
        <v>85</v>
      </c>
      <c r="B706" s="28" t="s">
        <v>582</v>
      </c>
      <c r="C706" s="28" t="s">
        <v>490</v>
      </c>
      <c r="D706" s="28" t="s">
        <v>490</v>
      </c>
      <c r="E706" s="28" t="s">
        <v>86</v>
      </c>
      <c r="F706" s="37">
        <v>3000</v>
      </c>
      <c r="G706" s="37">
        <v>500</v>
      </c>
      <c r="H706" s="37">
        <v>500</v>
      </c>
      <c r="I706" s="112">
        <f t="shared" si="248"/>
        <v>16.666666666666664</v>
      </c>
    </row>
    <row r="707" spans="1:9" s="35" customFormat="1" ht="24">
      <c r="A707" s="69" t="s">
        <v>64</v>
      </c>
      <c r="B707" s="21" t="s">
        <v>66</v>
      </c>
      <c r="C707" s="21"/>
      <c r="D707" s="21"/>
      <c r="E707" s="41"/>
      <c r="F707" s="38">
        <f t="shared" ref="F707:H711" si="249">F708</f>
        <v>4000</v>
      </c>
      <c r="G707" s="38">
        <f t="shared" si="249"/>
        <v>1023.9349999999999</v>
      </c>
      <c r="H707" s="38">
        <f t="shared" si="249"/>
        <v>1023.9349999999999</v>
      </c>
      <c r="I707" s="112">
        <f t="shared" si="248"/>
        <v>25.598375000000001</v>
      </c>
    </row>
    <row r="708" spans="1:9" s="35" customFormat="1" ht="36">
      <c r="A708" s="69" t="s">
        <v>354</v>
      </c>
      <c r="B708" s="21" t="s">
        <v>584</v>
      </c>
      <c r="C708" s="21"/>
      <c r="D708" s="21"/>
      <c r="E708" s="21"/>
      <c r="F708" s="38">
        <f t="shared" si="249"/>
        <v>4000</v>
      </c>
      <c r="G708" s="38">
        <f t="shared" si="249"/>
        <v>1023.9349999999999</v>
      </c>
      <c r="H708" s="38">
        <f t="shared" si="249"/>
        <v>1023.9349999999999</v>
      </c>
      <c r="I708" s="112">
        <f t="shared" si="248"/>
        <v>25.598375000000001</v>
      </c>
    </row>
    <row r="709" spans="1:9" s="35" customFormat="1" ht="15">
      <c r="A709" s="69" t="s">
        <v>398</v>
      </c>
      <c r="B709" s="21" t="s">
        <v>584</v>
      </c>
      <c r="C709" s="21" t="s">
        <v>90</v>
      </c>
      <c r="D709" s="21"/>
      <c r="E709" s="22"/>
      <c r="F709" s="38">
        <f t="shared" si="249"/>
        <v>4000</v>
      </c>
      <c r="G709" s="38">
        <f t="shared" si="249"/>
        <v>1023.9349999999999</v>
      </c>
      <c r="H709" s="38">
        <f t="shared" si="249"/>
        <v>1023.9349999999999</v>
      </c>
      <c r="I709" s="112">
        <f t="shared" si="248"/>
        <v>25.598375000000001</v>
      </c>
    </row>
    <row r="710" spans="1:9" s="35" customFormat="1" ht="15">
      <c r="A710" s="69" t="s">
        <v>63</v>
      </c>
      <c r="B710" s="21" t="s">
        <v>584</v>
      </c>
      <c r="C710" s="21" t="s">
        <v>90</v>
      </c>
      <c r="D710" s="21" t="s">
        <v>76</v>
      </c>
      <c r="E710" s="22"/>
      <c r="F710" s="38">
        <f t="shared" si="249"/>
        <v>4000</v>
      </c>
      <c r="G710" s="38">
        <f t="shared" si="249"/>
        <v>1023.9349999999999</v>
      </c>
      <c r="H710" s="38">
        <f t="shared" si="249"/>
        <v>1023.9349999999999</v>
      </c>
      <c r="I710" s="112">
        <f t="shared" si="248"/>
        <v>25.598375000000001</v>
      </c>
    </row>
    <row r="711" spans="1:9" s="35" customFormat="1" ht="15">
      <c r="A711" s="72" t="s">
        <v>301</v>
      </c>
      <c r="B711" s="28" t="s">
        <v>584</v>
      </c>
      <c r="C711" s="28" t="s">
        <v>90</v>
      </c>
      <c r="D711" s="28" t="s">
        <v>76</v>
      </c>
      <c r="E711" s="28" t="s">
        <v>84</v>
      </c>
      <c r="F711" s="37">
        <f t="shared" si="249"/>
        <v>4000</v>
      </c>
      <c r="G711" s="37">
        <f t="shared" si="249"/>
        <v>1023.9349999999999</v>
      </c>
      <c r="H711" s="37">
        <f t="shared" si="249"/>
        <v>1023.9349999999999</v>
      </c>
      <c r="I711" s="121">
        <f t="shared" si="248"/>
        <v>25.598375000000001</v>
      </c>
    </row>
    <row r="712" spans="1:9" s="35" customFormat="1" ht="24">
      <c r="A712" s="72" t="s">
        <v>85</v>
      </c>
      <c r="B712" s="28" t="s">
        <v>584</v>
      </c>
      <c r="C712" s="28" t="s">
        <v>90</v>
      </c>
      <c r="D712" s="28" t="s">
        <v>76</v>
      </c>
      <c r="E712" s="28" t="s">
        <v>86</v>
      </c>
      <c r="F712" s="37">
        <v>4000</v>
      </c>
      <c r="G712" s="37">
        <v>1023.9349999999999</v>
      </c>
      <c r="H712" s="37">
        <v>1023.9349999999999</v>
      </c>
      <c r="I712" s="121">
        <f t="shared" si="248"/>
        <v>25.598375000000001</v>
      </c>
    </row>
    <row r="713" spans="1:9" s="35" customFormat="1" ht="24">
      <c r="A713" s="65" t="s">
        <v>51</v>
      </c>
      <c r="B713" s="21" t="s">
        <v>53</v>
      </c>
      <c r="C713" s="21"/>
      <c r="D713" s="21"/>
      <c r="E713" s="21"/>
      <c r="F713" s="87">
        <f>F714</f>
        <v>30341.3</v>
      </c>
      <c r="G713" s="87">
        <f t="shared" ref="G713:H713" si="250">G714</f>
        <v>19331.100839999999</v>
      </c>
      <c r="H713" s="87">
        <f t="shared" si="250"/>
        <v>28341.3</v>
      </c>
      <c r="I713" s="112">
        <f t="shared" si="248"/>
        <v>93.408324626828772</v>
      </c>
    </row>
    <row r="714" spans="1:9" s="35" customFormat="1" ht="24">
      <c r="A714" s="65" t="s">
        <v>54</v>
      </c>
      <c r="B714" s="21" t="s">
        <v>585</v>
      </c>
      <c r="C714" s="21"/>
      <c r="D714" s="21"/>
      <c r="E714" s="21"/>
      <c r="F714" s="87">
        <f t="shared" ref="F714:H718" si="251">F715</f>
        <v>30341.3</v>
      </c>
      <c r="G714" s="87">
        <f t="shared" si="251"/>
        <v>19331.100839999999</v>
      </c>
      <c r="H714" s="87">
        <f t="shared" si="251"/>
        <v>28341.3</v>
      </c>
      <c r="I714" s="112">
        <f t="shared" si="248"/>
        <v>93.408324626828772</v>
      </c>
    </row>
    <row r="715" spans="1:9" s="35" customFormat="1" ht="15">
      <c r="A715" s="69" t="s">
        <v>398</v>
      </c>
      <c r="B715" s="21" t="s">
        <v>585</v>
      </c>
      <c r="C715" s="21" t="s">
        <v>90</v>
      </c>
      <c r="D715" s="21"/>
      <c r="E715" s="21"/>
      <c r="F715" s="87">
        <f t="shared" si="251"/>
        <v>30341.3</v>
      </c>
      <c r="G715" s="87">
        <f t="shared" si="251"/>
        <v>19331.100839999999</v>
      </c>
      <c r="H715" s="87">
        <f t="shared" si="251"/>
        <v>28341.3</v>
      </c>
      <c r="I715" s="112">
        <f t="shared" si="248"/>
        <v>93.408324626828772</v>
      </c>
    </row>
    <row r="716" spans="1:9" s="35" customFormat="1" ht="15">
      <c r="A716" s="69" t="s">
        <v>63</v>
      </c>
      <c r="B716" s="21" t="s">
        <v>585</v>
      </c>
      <c r="C716" s="21" t="s">
        <v>90</v>
      </c>
      <c r="D716" s="21"/>
      <c r="E716" s="21"/>
      <c r="F716" s="87">
        <f t="shared" si="251"/>
        <v>30341.3</v>
      </c>
      <c r="G716" s="87">
        <f t="shared" si="251"/>
        <v>19331.100839999999</v>
      </c>
      <c r="H716" s="87">
        <f t="shared" si="251"/>
        <v>28341.3</v>
      </c>
      <c r="I716" s="112">
        <f t="shared" si="248"/>
        <v>93.408324626828772</v>
      </c>
    </row>
    <row r="717" spans="1:9" s="35" customFormat="1" ht="24">
      <c r="A717" s="78" t="s">
        <v>309</v>
      </c>
      <c r="B717" s="31" t="s">
        <v>585</v>
      </c>
      <c r="C717" s="21" t="s">
        <v>90</v>
      </c>
      <c r="D717" s="21" t="s">
        <v>76</v>
      </c>
      <c r="E717" s="31"/>
      <c r="F717" s="212">
        <f t="shared" si="251"/>
        <v>30341.3</v>
      </c>
      <c r="G717" s="212">
        <f t="shared" si="251"/>
        <v>19331.100839999999</v>
      </c>
      <c r="H717" s="212">
        <f t="shared" si="251"/>
        <v>28341.3</v>
      </c>
      <c r="I717" s="144">
        <f t="shared" si="248"/>
        <v>93.408324626828772</v>
      </c>
    </row>
    <row r="718" spans="1:9" s="35" customFormat="1" ht="24">
      <c r="A718" s="72" t="s">
        <v>104</v>
      </c>
      <c r="B718" s="28" t="s">
        <v>585</v>
      </c>
      <c r="C718" s="28" t="s">
        <v>90</v>
      </c>
      <c r="D718" s="28" t="s">
        <v>76</v>
      </c>
      <c r="E718" s="28" t="s">
        <v>408</v>
      </c>
      <c r="F718" s="88">
        <f t="shared" si="251"/>
        <v>30341.3</v>
      </c>
      <c r="G718" s="88">
        <f t="shared" si="251"/>
        <v>19331.100839999999</v>
      </c>
      <c r="H718" s="88">
        <f t="shared" si="251"/>
        <v>28341.3</v>
      </c>
      <c r="I718" s="121">
        <f t="shared" si="248"/>
        <v>93.408324626828772</v>
      </c>
    </row>
    <row r="719" spans="1:9" s="35" customFormat="1" ht="15">
      <c r="A719" s="72" t="s">
        <v>516</v>
      </c>
      <c r="B719" s="28" t="s">
        <v>585</v>
      </c>
      <c r="C719" s="28" t="s">
        <v>90</v>
      </c>
      <c r="D719" s="28" t="s">
        <v>76</v>
      </c>
      <c r="E719" s="28" t="s">
        <v>517</v>
      </c>
      <c r="F719" s="135">
        <f>25545.1+4796.2</f>
        <v>30341.3</v>
      </c>
      <c r="G719" s="135">
        <v>19331.100839999999</v>
      </c>
      <c r="H719" s="135">
        <f>25545.1+4796.2-2000</f>
        <v>28341.3</v>
      </c>
      <c r="I719" s="121">
        <f t="shared" si="248"/>
        <v>93.408324626828772</v>
      </c>
    </row>
    <row r="720" spans="1:9" s="35" customFormat="1" ht="24">
      <c r="A720" s="69" t="s">
        <v>67</v>
      </c>
      <c r="B720" s="21" t="s">
        <v>68</v>
      </c>
      <c r="C720" s="21"/>
      <c r="D720" s="21"/>
      <c r="E720" s="21"/>
      <c r="F720" s="38">
        <f>F721</f>
        <v>3855</v>
      </c>
      <c r="G720" s="38">
        <f t="shared" ref="G720:H720" si="252">G721</f>
        <v>3276.0783700000002</v>
      </c>
      <c r="H720" s="38">
        <f t="shared" si="252"/>
        <v>3855</v>
      </c>
      <c r="I720" s="112">
        <f t="shared" si="248"/>
        <v>100</v>
      </c>
    </row>
    <row r="721" spans="1:9" s="35" customFormat="1" ht="36">
      <c r="A721" s="69" t="s">
        <v>312</v>
      </c>
      <c r="B721" s="21" t="s">
        <v>68</v>
      </c>
      <c r="C721" s="21"/>
      <c r="D721" s="21"/>
      <c r="E721" s="21"/>
      <c r="F721" s="38">
        <f>F722+F727</f>
        <v>3855</v>
      </c>
      <c r="G721" s="38">
        <f t="shared" ref="G721:H721" si="253">G722+G727</f>
        <v>3276.0783700000002</v>
      </c>
      <c r="H721" s="38">
        <f t="shared" si="253"/>
        <v>3855</v>
      </c>
      <c r="I721" s="112">
        <f t="shared" si="248"/>
        <v>100</v>
      </c>
    </row>
    <row r="722" spans="1:9" s="35" customFormat="1" ht="15">
      <c r="A722" s="69" t="s">
        <v>398</v>
      </c>
      <c r="B722" s="21" t="s">
        <v>69</v>
      </c>
      <c r="C722" s="21"/>
      <c r="D722" s="21"/>
      <c r="E722" s="21"/>
      <c r="F722" s="38">
        <f t="shared" ref="F722:H725" si="254">F723</f>
        <v>3770</v>
      </c>
      <c r="G722" s="38">
        <f t="shared" si="254"/>
        <v>3218.4463700000001</v>
      </c>
      <c r="H722" s="38">
        <f t="shared" si="254"/>
        <v>3770</v>
      </c>
      <c r="I722" s="112">
        <f t="shared" si="248"/>
        <v>100</v>
      </c>
    </row>
    <row r="723" spans="1:9" s="35" customFormat="1" ht="15">
      <c r="A723" s="71" t="s">
        <v>188</v>
      </c>
      <c r="B723" s="21" t="s">
        <v>69</v>
      </c>
      <c r="C723" s="21" t="s">
        <v>90</v>
      </c>
      <c r="D723" s="21"/>
      <c r="E723" s="21"/>
      <c r="F723" s="38">
        <f t="shared" si="254"/>
        <v>3770</v>
      </c>
      <c r="G723" s="38">
        <f t="shared" si="254"/>
        <v>3218.4463700000001</v>
      </c>
      <c r="H723" s="38">
        <f t="shared" si="254"/>
        <v>3770</v>
      </c>
      <c r="I723" s="112">
        <f t="shared" si="248"/>
        <v>100</v>
      </c>
    </row>
    <row r="724" spans="1:9" s="35" customFormat="1" ht="24">
      <c r="A724" s="70" t="s">
        <v>303</v>
      </c>
      <c r="B724" s="22" t="s">
        <v>69</v>
      </c>
      <c r="C724" s="21" t="s">
        <v>90</v>
      </c>
      <c r="D724" s="21" t="s">
        <v>432</v>
      </c>
      <c r="E724" s="22"/>
      <c r="F724" s="40">
        <f t="shared" si="254"/>
        <v>3770</v>
      </c>
      <c r="G724" s="40">
        <f t="shared" si="254"/>
        <v>3218.4463700000001</v>
      </c>
      <c r="H724" s="40">
        <f t="shared" si="254"/>
        <v>3770</v>
      </c>
      <c r="I724" s="126">
        <f t="shared" si="248"/>
        <v>100</v>
      </c>
    </row>
    <row r="725" spans="1:9" s="35" customFormat="1" ht="36">
      <c r="A725" s="72" t="s">
        <v>79</v>
      </c>
      <c r="B725" s="28" t="s">
        <v>69</v>
      </c>
      <c r="C725" s="28" t="s">
        <v>90</v>
      </c>
      <c r="D725" s="28" t="s">
        <v>432</v>
      </c>
      <c r="E725" s="28" t="s">
        <v>80</v>
      </c>
      <c r="F725" s="37">
        <f t="shared" si="254"/>
        <v>3770</v>
      </c>
      <c r="G725" s="37">
        <f t="shared" si="254"/>
        <v>3218.4463700000001</v>
      </c>
      <c r="H725" s="37">
        <f t="shared" si="254"/>
        <v>3770</v>
      </c>
      <c r="I725" s="121">
        <f t="shared" si="248"/>
        <v>100</v>
      </c>
    </row>
    <row r="726" spans="1:9" s="35" customFormat="1" ht="15">
      <c r="A726" s="72" t="s">
        <v>81</v>
      </c>
      <c r="B726" s="28" t="s">
        <v>69</v>
      </c>
      <c r="C726" s="28" t="s">
        <v>90</v>
      </c>
      <c r="D726" s="28" t="s">
        <v>432</v>
      </c>
      <c r="E726" s="28" t="s">
        <v>82</v>
      </c>
      <c r="F726" s="121">
        <f>2830+20+850+10+60</f>
        <v>3770</v>
      </c>
      <c r="G726" s="121">
        <v>3218.4463700000001</v>
      </c>
      <c r="H726" s="121">
        <f>2830+20+850+10+60</f>
        <v>3770</v>
      </c>
      <c r="I726" s="121">
        <f t="shared" si="248"/>
        <v>100</v>
      </c>
    </row>
    <row r="727" spans="1:9" s="35" customFormat="1" ht="15">
      <c r="A727" s="69" t="s">
        <v>83</v>
      </c>
      <c r="B727" s="21" t="s">
        <v>70</v>
      </c>
      <c r="C727" s="21"/>
      <c r="D727" s="21"/>
      <c r="E727" s="21"/>
      <c r="F727" s="38">
        <f>F728</f>
        <v>85</v>
      </c>
      <c r="G727" s="38">
        <f t="shared" ref="G727:H728" si="255">G728</f>
        <v>57.631999999999998</v>
      </c>
      <c r="H727" s="38">
        <f t="shared" si="255"/>
        <v>85</v>
      </c>
      <c r="I727" s="112">
        <f t="shared" si="248"/>
        <v>100</v>
      </c>
    </row>
    <row r="728" spans="1:9" s="35" customFormat="1" ht="15">
      <c r="A728" s="69" t="s">
        <v>398</v>
      </c>
      <c r="B728" s="21" t="s">
        <v>70</v>
      </c>
      <c r="C728" s="21" t="s">
        <v>90</v>
      </c>
      <c r="D728" s="21"/>
      <c r="E728" s="21"/>
      <c r="F728" s="38">
        <f>F729</f>
        <v>85</v>
      </c>
      <c r="G728" s="38">
        <f t="shared" si="255"/>
        <v>57.631999999999998</v>
      </c>
      <c r="H728" s="38">
        <f t="shared" si="255"/>
        <v>85</v>
      </c>
      <c r="I728" s="112">
        <f t="shared" si="248"/>
        <v>100</v>
      </c>
    </row>
    <row r="729" spans="1:9" s="35" customFormat="1" ht="15">
      <c r="A729" s="71" t="s">
        <v>188</v>
      </c>
      <c r="B729" s="21" t="s">
        <v>70</v>
      </c>
      <c r="C729" s="21" t="s">
        <v>90</v>
      </c>
      <c r="D729" s="21" t="s">
        <v>432</v>
      </c>
      <c r="E729" s="21"/>
      <c r="F729" s="38">
        <f>F730+F732</f>
        <v>85</v>
      </c>
      <c r="G729" s="38">
        <f t="shared" ref="G729:H729" si="256">G730+G732</f>
        <v>57.631999999999998</v>
      </c>
      <c r="H729" s="38">
        <f t="shared" si="256"/>
        <v>85</v>
      </c>
      <c r="I729" s="112">
        <f t="shared" si="248"/>
        <v>100</v>
      </c>
    </row>
    <row r="730" spans="1:9" s="35" customFormat="1" ht="15">
      <c r="A730" s="72" t="s">
        <v>301</v>
      </c>
      <c r="B730" s="28" t="s">
        <v>70</v>
      </c>
      <c r="C730" s="28" t="s">
        <v>90</v>
      </c>
      <c r="D730" s="28" t="s">
        <v>432</v>
      </c>
      <c r="E730" s="28" t="s">
        <v>84</v>
      </c>
      <c r="F730" s="37">
        <f>F731</f>
        <v>75</v>
      </c>
      <c r="G730" s="37">
        <f t="shared" ref="G730:H730" si="257">G731</f>
        <v>57.631999999999998</v>
      </c>
      <c r="H730" s="37">
        <f t="shared" si="257"/>
        <v>75</v>
      </c>
      <c r="I730" s="121">
        <f t="shared" si="248"/>
        <v>100</v>
      </c>
    </row>
    <row r="731" spans="1:9" s="35" customFormat="1" ht="24">
      <c r="A731" s="72" t="s">
        <v>85</v>
      </c>
      <c r="B731" s="28" t="s">
        <v>70</v>
      </c>
      <c r="C731" s="28" t="s">
        <v>90</v>
      </c>
      <c r="D731" s="28" t="s">
        <v>432</v>
      </c>
      <c r="E731" s="28" t="s">
        <v>86</v>
      </c>
      <c r="F731" s="121">
        <f>5+10+10+50</f>
        <v>75</v>
      </c>
      <c r="G731" s="121">
        <v>57.631999999999998</v>
      </c>
      <c r="H731" s="121">
        <v>75</v>
      </c>
      <c r="I731" s="121">
        <f t="shared" si="248"/>
        <v>100</v>
      </c>
    </row>
    <row r="732" spans="1:9" s="35" customFormat="1" ht="15">
      <c r="A732" s="72" t="s">
        <v>87</v>
      </c>
      <c r="B732" s="28" t="s">
        <v>70</v>
      </c>
      <c r="C732" s="28" t="s">
        <v>90</v>
      </c>
      <c r="D732" s="28" t="s">
        <v>432</v>
      </c>
      <c r="E732" s="28" t="s">
        <v>88</v>
      </c>
      <c r="F732" s="37">
        <f>F733</f>
        <v>10</v>
      </c>
      <c r="G732" s="88">
        <f t="shared" ref="G732:H732" si="258">G733</f>
        <v>0</v>
      </c>
      <c r="H732" s="37">
        <f t="shared" si="258"/>
        <v>10</v>
      </c>
      <c r="I732" s="121">
        <f t="shared" si="248"/>
        <v>100</v>
      </c>
    </row>
    <row r="733" spans="1:9" s="35" customFormat="1" ht="15">
      <c r="A733" s="72" t="s">
        <v>514</v>
      </c>
      <c r="B733" s="28" t="s">
        <v>70</v>
      </c>
      <c r="C733" s="28" t="s">
        <v>90</v>
      </c>
      <c r="D733" s="28" t="s">
        <v>432</v>
      </c>
      <c r="E733" s="28" t="s">
        <v>89</v>
      </c>
      <c r="F733" s="121">
        <v>10</v>
      </c>
      <c r="G733" s="135">
        <v>0</v>
      </c>
      <c r="H733" s="121">
        <v>10</v>
      </c>
      <c r="I733" s="121">
        <f t="shared" si="248"/>
        <v>100</v>
      </c>
    </row>
    <row r="734" spans="1:9" s="35" customFormat="1" ht="27">
      <c r="A734" s="131" t="s">
        <v>579</v>
      </c>
      <c r="B734" s="132" t="s">
        <v>103</v>
      </c>
      <c r="C734" s="132"/>
      <c r="D734" s="132"/>
      <c r="E734" s="132"/>
      <c r="F734" s="192">
        <f>F735</f>
        <v>800</v>
      </c>
      <c r="G734" s="192">
        <f t="shared" ref="G734:H734" si="259">G735</f>
        <v>277.3</v>
      </c>
      <c r="H734" s="192">
        <f t="shared" si="259"/>
        <v>500</v>
      </c>
      <c r="I734" s="192">
        <f>H734/F734*100</f>
        <v>62.5</v>
      </c>
    </row>
    <row r="735" spans="1:9" s="35" customFormat="1" ht="24">
      <c r="A735" s="51" t="s">
        <v>501</v>
      </c>
      <c r="B735" s="21" t="s">
        <v>503</v>
      </c>
      <c r="C735" s="21"/>
      <c r="D735" s="21"/>
      <c r="E735" s="21"/>
      <c r="F735" s="38">
        <f t="shared" ref="F735:H739" si="260">F736</f>
        <v>800</v>
      </c>
      <c r="G735" s="38">
        <f t="shared" si="260"/>
        <v>277.3</v>
      </c>
      <c r="H735" s="38">
        <f t="shared" si="260"/>
        <v>500</v>
      </c>
      <c r="I735" s="112">
        <f t="shared" ref="I735:I740" si="261">H735/F735*100</f>
        <v>62.5</v>
      </c>
    </row>
    <row r="736" spans="1:9" s="35" customFormat="1" ht="24">
      <c r="A736" s="51" t="s">
        <v>502</v>
      </c>
      <c r="B736" s="21" t="s">
        <v>580</v>
      </c>
      <c r="C736" s="21"/>
      <c r="D736" s="21"/>
      <c r="E736" s="21"/>
      <c r="F736" s="38">
        <f t="shared" si="260"/>
        <v>800</v>
      </c>
      <c r="G736" s="38">
        <f t="shared" si="260"/>
        <v>277.3</v>
      </c>
      <c r="H736" s="38">
        <f t="shared" si="260"/>
        <v>500</v>
      </c>
      <c r="I736" s="112">
        <f t="shared" si="261"/>
        <v>62.5</v>
      </c>
    </row>
    <row r="737" spans="1:9" s="35" customFormat="1" ht="15">
      <c r="A737" s="65" t="s">
        <v>114</v>
      </c>
      <c r="B737" s="39" t="s">
        <v>580</v>
      </c>
      <c r="C737" s="21" t="s">
        <v>76</v>
      </c>
      <c r="D737" s="21"/>
      <c r="E737" s="22"/>
      <c r="F737" s="38">
        <f t="shared" si="260"/>
        <v>800</v>
      </c>
      <c r="G737" s="38">
        <f t="shared" si="260"/>
        <v>277.3</v>
      </c>
      <c r="H737" s="38">
        <f t="shared" si="260"/>
        <v>500</v>
      </c>
      <c r="I737" s="112">
        <f t="shared" si="261"/>
        <v>62.5</v>
      </c>
    </row>
    <row r="738" spans="1:9" s="35" customFormat="1" ht="15">
      <c r="A738" s="65" t="s">
        <v>427</v>
      </c>
      <c r="B738" s="39" t="s">
        <v>580</v>
      </c>
      <c r="C738" s="21" t="s">
        <v>76</v>
      </c>
      <c r="D738" s="21" t="s">
        <v>93</v>
      </c>
      <c r="E738" s="22"/>
      <c r="F738" s="38">
        <f t="shared" si="260"/>
        <v>800</v>
      </c>
      <c r="G738" s="38">
        <f t="shared" si="260"/>
        <v>277.3</v>
      </c>
      <c r="H738" s="38">
        <f t="shared" si="260"/>
        <v>500</v>
      </c>
      <c r="I738" s="112">
        <f t="shared" si="261"/>
        <v>62.5</v>
      </c>
    </row>
    <row r="739" spans="1:9" s="35" customFormat="1" ht="36">
      <c r="A739" s="72" t="s">
        <v>79</v>
      </c>
      <c r="B739" s="28" t="s">
        <v>580</v>
      </c>
      <c r="C739" s="28" t="s">
        <v>76</v>
      </c>
      <c r="D739" s="28" t="s">
        <v>93</v>
      </c>
      <c r="E739" s="28" t="s">
        <v>80</v>
      </c>
      <c r="F739" s="37">
        <f t="shared" si="260"/>
        <v>800</v>
      </c>
      <c r="G739" s="37">
        <f t="shared" si="260"/>
        <v>277.3</v>
      </c>
      <c r="H739" s="37">
        <f t="shared" si="260"/>
        <v>500</v>
      </c>
      <c r="I739" s="121">
        <f t="shared" si="261"/>
        <v>62.5</v>
      </c>
    </row>
    <row r="740" spans="1:9" s="35" customFormat="1" ht="15">
      <c r="A740" s="72" t="s">
        <v>81</v>
      </c>
      <c r="B740" s="28" t="s">
        <v>580</v>
      </c>
      <c r="C740" s="28" t="s">
        <v>76</v>
      </c>
      <c r="D740" s="28" t="s">
        <v>93</v>
      </c>
      <c r="E740" s="28" t="s">
        <v>82</v>
      </c>
      <c r="F740" s="37">
        <v>800</v>
      </c>
      <c r="G740" s="37">
        <v>277.3</v>
      </c>
      <c r="H740" s="37">
        <f>800-300</f>
        <v>500</v>
      </c>
      <c r="I740" s="121">
        <f t="shared" si="261"/>
        <v>62.5</v>
      </c>
    </row>
    <row r="741" spans="1:9" s="35" customFormat="1" ht="40.5">
      <c r="A741" s="131" t="s">
        <v>635</v>
      </c>
      <c r="B741" s="191" t="s">
        <v>495</v>
      </c>
      <c r="C741" s="132"/>
      <c r="D741" s="132"/>
      <c r="E741" s="132"/>
      <c r="F741" s="197">
        <f>F747+F742</f>
        <v>93917.979800000001</v>
      </c>
      <c r="G741" s="197">
        <f t="shared" ref="G741:H741" si="262">G747+G742</f>
        <v>72135.906000000003</v>
      </c>
      <c r="H741" s="197">
        <f t="shared" si="262"/>
        <v>93917.979800000001</v>
      </c>
      <c r="I741" s="192">
        <f>H741/F741*100</f>
        <v>100</v>
      </c>
    </row>
    <row r="742" spans="1:9" s="35" customFormat="1" ht="15">
      <c r="A742" s="69" t="s">
        <v>737</v>
      </c>
      <c r="B742" s="39" t="s">
        <v>738</v>
      </c>
      <c r="C742" s="28"/>
      <c r="D742" s="28"/>
      <c r="E742" s="209"/>
      <c r="F742" s="134">
        <f>F743</f>
        <v>85917.979800000001</v>
      </c>
      <c r="G742" s="134">
        <f t="shared" ref="G742:H745" si="263">G743</f>
        <v>67457.280700000003</v>
      </c>
      <c r="H742" s="134">
        <f t="shared" si="263"/>
        <v>85917.979800000001</v>
      </c>
      <c r="I742" s="112">
        <f t="shared" ref="I742:I751" si="264">H742/F742*100</f>
        <v>100</v>
      </c>
    </row>
    <row r="743" spans="1:9" s="35" customFormat="1" ht="15">
      <c r="A743" s="51" t="s">
        <v>375</v>
      </c>
      <c r="B743" s="39" t="s">
        <v>738</v>
      </c>
      <c r="C743" s="21" t="s">
        <v>432</v>
      </c>
      <c r="D743" s="21"/>
      <c r="E743" s="209"/>
      <c r="F743" s="134">
        <f>F744</f>
        <v>85917.979800000001</v>
      </c>
      <c r="G743" s="134">
        <f t="shared" si="263"/>
        <v>67457.280700000003</v>
      </c>
      <c r="H743" s="134">
        <f t="shared" si="263"/>
        <v>85917.979800000001</v>
      </c>
      <c r="I743" s="112">
        <f t="shared" si="264"/>
        <v>100</v>
      </c>
    </row>
    <row r="744" spans="1:9" s="35" customFormat="1" ht="15">
      <c r="A744" s="51" t="s">
        <v>379</v>
      </c>
      <c r="B744" s="39" t="s">
        <v>738</v>
      </c>
      <c r="C744" s="21" t="s">
        <v>432</v>
      </c>
      <c r="D744" s="21" t="s">
        <v>483</v>
      </c>
      <c r="E744" s="209"/>
      <c r="F744" s="134">
        <f>F745</f>
        <v>85917.979800000001</v>
      </c>
      <c r="G744" s="134">
        <f t="shared" si="263"/>
        <v>67457.280700000003</v>
      </c>
      <c r="H744" s="134">
        <f t="shared" si="263"/>
        <v>85917.979800000001</v>
      </c>
      <c r="I744" s="112">
        <f t="shared" si="264"/>
        <v>100</v>
      </c>
    </row>
    <row r="745" spans="1:9" s="35" customFormat="1" ht="15">
      <c r="A745" s="72" t="s">
        <v>301</v>
      </c>
      <c r="B745" s="36" t="s">
        <v>738</v>
      </c>
      <c r="C745" s="28" t="s">
        <v>432</v>
      </c>
      <c r="D745" s="28" t="s">
        <v>483</v>
      </c>
      <c r="E745" s="209" t="s">
        <v>84</v>
      </c>
      <c r="F745" s="135">
        <f>F746</f>
        <v>85917.979800000001</v>
      </c>
      <c r="G745" s="135">
        <f t="shared" si="263"/>
        <v>67457.280700000003</v>
      </c>
      <c r="H745" s="135">
        <f t="shared" si="263"/>
        <v>85917.979800000001</v>
      </c>
      <c r="I745" s="121">
        <f t="shared" si="264"/>
        <v>100</v>
      </c>
    </row>
    <row r="746" spans="1:9" s="46" customFormat="1" ht="24">
      <c r="A746" s="72" t="s">
        <v>85</v>
      </c>
      <c r="B746" s="36" t="s">
        <v>738</v>
      </c>
      <c r="C746" s="28" t="s">
        <v>432</v>
      </c>
      <c r="D746" s="28" t="s">
        <v>483</v>
      </c>
      <c r="E746" s="209" t="s">
        <v>86</v>
      </c>
      <c r="F746" s="135">
        <v>85917.979800000001</v>
      </c>
      <c r="G746" s="135">
        <v>67457.280700000003</v>
      </c>
      <c r="H746" s="135">
        <v>85917.979800000001</v>
      </c>
      <c r="I746" s="121">
        <f t="shared" si="264"/>
        <v>100</v>
      </c>
    </row>
    <row r="747" spans="1:9" s="46" customFormat="1" ht="24">
      <c r="A747" s="69" t="s">
        <v>45</v>
      </c>
      <c r="B747" s="39" t="s">
        <v>618</v>
      </c>
      <c r="C747" s="28"/>
      <c r="D747" s="28"/>
      <c r="E747" s="28"/>
      <c r="F747" s="87">
        <f t="shared" ref="F747:H750" si="265">F748</f>
        <v>8000</v>
      </c>
      <c r="G747" s="87">
        <f t="shared" si="265"/>
        <v>4678.6252999999997</v>
      </c>
      <c r="H747" s="87">
        <f t="shared" si="265"/>
        <v>8000</v>
      </c>
      <c r="I747" s="112">
        <f t="shared" si="264"/>
        <v>100</v>
      </c>
    </row>
    <row r="748" spans="1:9" s="46" customFormat="1">
      <c r="A748" s="51" t="s">
        <v>375</v>
      </c>
      <c r="B748" s="39" t="s">
        <v>618</v>
      </c>
      <c r="C748" s="21" t="s">
        <v>432</v>
      </c>
      <c r="D748" s="21"/>
      <c r="E748" s="21"/>
      <c r="F748" s="87">
        <f t="shared" si="265"/>
        <v>8000</v>
      </c>
      <c r="G748" s="87">
        <f t="shared" si="265"/>
        <v>4678.6252999999997</v>
      </c>
      <c r="H748" s="87">
        <f t="shared" si="265"/>
        <v>8000</v>
      </c>
      <c r="I748" s="112">
        <f t="shared" si="264"/>
        <v>100</v>
      </c>
    </row>
    <row r="749" spans="1:9" s="46" customFormat="1">
      <c r="A749" s="51" t="s">
        <v>379</v>
      </c>
      <c r="B749" s="39" t="s">
        <v>618</v>
      </c>
      <c r="C749" s="21" t="s">
        <v>432</v>
      </c>
      <c r="D749" s="21" t="s">
        <v>483</v>
      </c>
      <c r="E749" s="21"/>
      <c r="F749" s="87">
        <f t="shared" si="265"/>
        <v>8000</v>
      </c>
      <c r="G749" s="87">
        <f t="shared" si="265"/>
        <v>4678.6252999999997</v>
      </c>
      <c r="H749" s="87">
        <f t="shared" si="265"/>
        <v>8000</v>
      </c>
      <c r="I749" s="112">
        <f t="shared" si="264"/>
        <v>100</v>
      </c>
    </row>
    <row r="750" spans="1:9" s="46" customFormat="1">
      <c r="A750" s="72" t="s">
        <v>301</v>
      </c>
      <c r="B750" s="36" t="s">
        <v>618</v>
      </c>
      <c r="C750" s="28" t="s">
        <v>432</v>
      </c>
      <c r="D750" s="28" t="s">
        <v>483</v>
      </c>
      <c r="E750" s="28" t="s">
        <v>84</v>
      </c>
      <c r="F750" s="88">
        <f t="shared" si="265"/>
        <v>8000</v>
      </c>
      <c r="G750" s="88">
        <f t="shared" si="265"/>
        <v>4678.6252999999997</v>
      </c>
      <c r="H750" s="88">
        <f t="shared" si="265"/>
        <v>8000</v>
      </c>
      <c r="I750" s="121">
        <f t="shared" si="264"/>
        <v>100</v>
      </c>
    </row>
    <row r="751" spans="1:9" s="46" customFormat="1" ht="24">
      <c r="A751" s="72" t="s">
        <v>85</v>
      </c>
      <c r="B751" s="36" t="s">
        <v>618</v>
      </c>
      <c r="C751" s="28" t="s">
        <v>432</v>
      </c>
      <c r="D751" s="28" t="s">
        <v>483</v>
      </c>
      <c r="E751" s="28" t="s">
        <v>86</v>
      </c>
      <c r="F751" s="88">
        <v>8000</v>
      </c>
      <c r="G751" s="88">
        <v>4678.6252999999997</v>
      </c>
      <c r="H751" s="88">
        <v>8000</v>
      </c>
      <c r="I751" s="121">
        <f t="shared" si="264"/>
        <v>100</v>
      </c>
    </row>
    <row r="752" spans="1:9" s="46" customFormat="1" ht="25.5">
      <c r="A752" s="80" t="s">
        <v>420</v>
      </c>
      <c r="B752" s="81"/>
      <c r="C752" s="81"/>
      <c r="D752" s="81"/>
      <c r="E752" s="81"/>
      <c r="F752" s="79">
        <f>F753+F758+F769+F774+F787+F802+F813+F826</f>
        <v>493070.58799999999</v>
      </c>
      <c r="G752" s="79">
        <f t="shared" ref="G752:H752" si="266">G753+G758+G769+G774+G787+G802+G813+G826</f>
        <v>299450.92090999999</v>
      </c>
      <c r="H752" s="79">
        <f t="shared" si="266"/>
        <v>429847.62745000003</v>
      </c>
      <c r="I752" s="79">
        <f>H752/F752*100</f>
        <v>87.177705973814852</v>
      </c>
    </row>
    <row r="753" spans="1:9" s="46" customFormat="1" ht="13.5">
      <c r="A753" s="198" t="s">
        <v>158</v>
      </c>
      <c r="B753" s="132" t="s">
        <v>220</v>
      </c>
      <c r="C753" s="132"/>
      <c r="D753" s="132"/>
      <c r="E753" s="132"/>
      <c r="F753" s="192">
        <f>F754</f>
        <v>2000</v>
      </c>
      <c r="G753" s="192">
        <f t="shared" ref="G753:H756" si="267">G754</f>
        <v>1331.1167600000001</v>
      </c>
      <c r="H753" s="192">
        <f t="shared" si="267"/>
        <v>2000</v>
      </c>
      <c r="I753" s="192">
        <f>H753/F753*100</f>
        <v>100</v>
      </c>
    </row>
    <row r="754" spans="1:9" s="46" customFormat="1" ht="24">
      <c r="A754" s="52" t="s">
        <v>30</v>
      </c>
      <c r="B754" s="21" t="s">
        <v>222</v>
      </c>
      <c r="C754" s="21"/>
      <c r="D754" s="21"/>
      <c r="E754" s="28"/>
      <c r="F754" s="38">
        <f>F755</f>
        <v>2000</v>
      </c>
      <c r="G754" s="38">
        <f t="shared" si="267"/>
        <v>1331.1167600000001</v>
      </c>
      <c r="H754" s="38">
        <f t="shared" si="267"/>
        <v>2000</v>
      </c>
      <c r="I754" s="112">
        <f t="shared" ref="I754:I757" si="268">H754/F754*100</f>
        <v>100</v>
      </c>
    </row>
    <row r="755" spans="1:9" s="46" customFormat="1">
      <c r="A755" s="51" t="s">
        <v>114</v>
      </c>
      <c r="B755" s="21" t="s">
        <v>224</v>
      </c>
      <c r="C755" s="21" t="s">
        <v>76</v>
      </c>
      <c r="D755" s="21"/>
      <c r="E755" s="21"/>
      <c r="F755" s="38">
        <f>F756</f>
        <v>2000</v>
      </c>
      <c r="G755" s="38">
        <f t="shared" si="267"/>
        <v>1331.1167600000001</v>
      </c>
      <c r="H755" s="38">
        <f t="shared" si="267"/>
        <v>2000</v>
      </c>
      <c r="I755" s="112">
        <f t="shared" si="268"/>
        <v>100</v>
      </c>
    </row>
    <row r="756" spans="1:9" s="43" customFormat="1" ht="36">
      <c r="A756" s="53" t="s">
        <v>79</v>
      </c>
      <c r="B756" s="28" t="s">
        <v>224</v>
      </c>
      <c r="C756" s="28" t="s">
        <v>76</v>
      </c>
      <c r="D756" s="28" t="s">
        <v>491</v>
      </c>
      <c r="E756" s="28" t="s">
        <v>80</v>
      </c>
      <c r="F756" s="37">
        <f>F757</f>
        <v>2000</v>
      </c>
      <c r="G756" s="37">
        <f t="shared" si="267"/>
        <v>1331.1167600000001</v>
      </c>
      <c r="H756" s="37">
        <f t="shared" si="267"/>
        <v>2000</v>
      </c>
      <c r="I756" s="121">
        <f>H756/F756*100</f>
        <v>100</v>
      </c>
    </row>
    <row r="757" spans="1:9" s="43" customFormat="1">
      <c r="A757" s="53" t="s">
        <v>81</v>
      </c>
      <c r="B757" s="28" t="s">
        <v>224</v>
      </c>
      <c r="C757" s="28" t="s">
        <v>76</v>
      </c>
      <c r="D757" s="28" t="s">
        <v>491</v>
      </c>
      <c r="E757" s="28" t="s">
        <v>82</v>
      </c>
      <c r="F757" s="37">
        <v>2000</v>
      </c>
      <c r="G757" s="37">
        <v>1331.1167600000001</v>
      </c>
      <c r="H757" s="37">
        <v>2000</v>
      </c>
      <c r="I757" s="121">
        <f t="shared" si="268"/>
        <v>100</v>
      </c>
    </row>
    <row r="758" spans="1:9" s="46" customFormat="1" ht="27">
      <c r="A758" s="198" t="s">
        <v>415</v>
      </c>
      <c r="B758" s="186" t="s">
        <v>225</v>
      </c>
      <c r="C758" s="132"/>
      <c r="D758" s="132"/>
      <c r="E758" s="186"/>
      <c r="F758" s="192">
        <f>F759+F763</f>
        <v>25547.7</v>
      </c>
      <c r="G758" s="192">
        <f t="shared" ref="G758:H758" si="269">G759+G763</f>
        <v>17528.40424</v>
      </c>
      <c r="H758" s="192">
        <f t="shared" si="269"/>
        <v>25547.7</v>
      </c>
      <c r="I758" s="192">
        <f>H758/F758*100</f>
        <v>100</v>
      </c>
    </row>
    <row r="759" spans="1:9" s="46" customFormat="1" ht="24">
      <c r="A759" s="52" t="s">
        <v>30</v>
      </c>
      <c r="B759" s="21" t="s">
        <v>137</v>
      </c>
      <c r="C759" s="21"/>
      <c r="D759" s="21"/>
      <c r="E759" s="28"/>
      <c r="F759" s="38">
        <f>F760</f>
        <v>19762</v>
      </c>
      <c r="G759" s="38">
        <f t="shared" ref="G759:H761" si="270">G760</f>
        <v>14914.874830000001</v>
      </c>
      <c r="H759" s="38">
        <f t="shared" si="270"/>
        <v>19762</v>
      </c>
      <c r="I759" s="112">
        <f t="shared" ref="I759:I768" si="271">H759/F759*100</f>
        <v>100</v>
      </c>
    </row>
    <row r="760" spans="1:9" s="46" customFormat="1">
      <c r="A760" s="51" t="s">
        <v>114</v>
      </c>
      <c r="B760" s="21" t="s">
        <v>229</v>
      </c>
      <c r="C760" s="21" t="s">
        <v>76</v>
      </c>
      <c r="D760" s="22"/>
      <c r="E760" s="55"/>
      <c r="F760" s="40">
        <f>F761</f>
        <v>19762</v>
      </c>
      <c r="G760" s="40">
        <f t="shared" si="270"/>
        <v>14914.874830000001</v>
      </c>
      <c r="H760" s="40">
        <f t="shared" si="270"/>
        <v>19762</v>
      </c>
      <c r="I760" s="126">
        <f t="shared" si="271"/>
        <v>100</v>
      </c>
    </row>
    <row r="761" spans="1:9" s="46" customFormat="1" ht="36">
      <c r="A761" s="53" t="s">
        <v>79</v>
      </c>
      <c r="B761" s="28" t="s">
        <v>229</v>
      </c>
      <c r="C761" s="28" t="s">
        <v>76</v>
      </c>
      <c r="D761" s="28" t="s">
        <v>483</v>
      </c>
      <c r="E761" s="28" t="s">
        <v>80</v>
      </c>
      <c r="F761" s="37">
        <f>F762</f>
        <v>19762</v>
      </c>
      <c r="G761" s="37">
        <f t="shared" si="270"/>
        <v>14914.874830000001</v>
      </c>
      <c r="H761" s="37">
        <f t="shared" si="270"/>
        <v>19762</v>
      </c>
      <c r="I761" s="121">
        <f t="shared" si="271"/>
        <v>100</v>
      </c>
    </row>
    <row r="762" spans="1:9" s="46" customFormat="1">
      <c r="A762" s="53" t="s">
        <v>81</v>
      </c>
      <c r="B762" s="28" t="s">
        <v>229</v>
      </c>
      <c r="C762" s="28" t="s">
        <v>76</v>
      </c>
      <c r="D762" s="28" t="s">
        <v>483</v>
      </c>
      <c r="E762" s="28" t="s">
        <v>82</v>
      </c>
      <c r="F762" s="37">
        <v>19762</v>
      </c>
      <c r="G762" s="37">
        <v>14914.874830000001</v>
      </c>
      <c r="H762" s="37">
        <v>19762</v>
      </c>
      <c r="I762" s="121">
        <f t="shared" si="271"/>
        <v>100</v>
      </c>
    </row>
    <row r="763" spans="1:9" s="46" customFormat="1">
      <c r="A763" s="51" t="s">
        <v>142</v>
      </c>
      <c r="B763" s="21" t="s">
        <v>137</v>
      </c>
      <c r="C763" s="21"/>
      <c r="D763" s="21"/>
      <c r="E763" s="28"/>
      <c r="F763" s="38">
        <f>F764</f>
        <v>5785.7</v>
      </c>
      <c r="G763" s="38">
        <f t="shared" ref="G763:H763" si="272">G764</f>
        <v>2613.5294100000001</v>
      </c>
      <c r="H763" s="38">
        <f t="shared" si="272"/>
        <v>5785.7</v>
      </c>
      <c r="I763" s="112">
        <f t="shared" si="271"/>
        <v>100</v>
      </c>
    </row>
    <row r="764" spans="1:9" s="46" customFormat="1">
      <c r="A764" s="51" t="s">
        <v>114</v>
      </c>
      <c r="B764" s="21" t="s">
        <v>230</v>
      </c>
      <c r="C764" s="21" t="s">
        <v>76</v>
      </c>
      <c r="D764" s="21"/>
      <c r="E764" s="28"/>
      <c r="F764" s="38">
        <f>F765+F767</f>
        <v>5785.7</v>
      </c>
      <c r="G764" s="38">
        <f t="shared" ref="G764:H764" si="273">G765+G767</f>
        <v>2613.5294100000001</v>
      </c>
      <c r="H764" s="38">
        <f t="shared" si="273"/>
        <v>5785.7</v>
      </c>
      <c r="I764" s="112">
        <f t="shared" si="271"/>
        <v>100</v>
      </c>
    </row>
    <row r="765" spans="1:9" s="46" customFormat="1">
      <c r="A765" s="53" t="s">
        <v>301</v>
      </c>
      <c r="B765" s="28" t="s">
        <v>230</v>
      </c>
      <c r="C765" s="28" t="s">
        <v>76</v>
      </c>
      <c r="D765" s="28" t="s">
        <v>483</v>
      </c>
      <c r="E765" s="28" t="s">
        <v>84</v>
      </c>
      <c r="F765" s="37">
        <f>F766</f>
        <v>5760.7</v>
      </c>
      <c r="G765" s="37">
        <f t="shared" ref="G765:H765" si="274">G766</f>
        <v>2603.41941</v>
      </c>
      <c r="H765" s="37">
        <f t="shared" si="274"/>
        <v>5760.7</v>
      </c>
      <c r="I765" s="121">
        <f t="shared" si="271"/>
        <v>100</v>
      </c>
    </row>
    <row r="766" spans="1:9" ht="24">
      <c r="A766" s="53" t="s">
        <v>85</v>
      </c>
      <c r="B766" s="28" t="s">
        <v>230</v>
      </c>
      <c r="C766" s="28" t="s">
        <v>76</v>
      </c>
      <c r="D766" s="28" t="s">
        <v>483</v>
      </c>
      <c r="E766" s="28" t="s">
        <v>86</v>
      </c>
      <c r="F766" s="37">
        <f>5005+515.7+240</f>
        <v>5760.7</v>
      </c>
      <c r="G766" s="37">
        <v>2603.41941</v>
      </c>
      <c r="H766" s="37">
        <f>5005+515.7+240</f>
        <v>5760.7</v>
      </c>
      <c r="I766" s="121">
        <f t="shared" si="271"/>
        <v>100</v>
      </c>
    </row>
    <row r="767" spans="1:9" s="30" customFormat="1">
      <c r="A767" s="53" t="s">
        <v>87</v>
      </c>
      <c r="B767" s="28" t="s">
        <v>230</v>
      </c>
      <c r="C767" s="28" t="s">
        <v>76</v>
      </c>
      <c r="D767" s="28" t="s">
        <v>483</v>
      </c>
      <c r="E767" s="28" t="s">
        <v>88</v>
      </c>
      <c r="F767" s="37">
        <f>F768</f>
        <v>25</v>
      </c>
      <c r="G767" s="37">
        <f t="shared" ref="G767:H767" si="275">G768</f>
        <v>10.11</v>
      </c>
      <c r="H767" s="37">
        <f t="shared" si="275"/>
        <v>25</v>
      </c>
      <c r="I767" s="121">
        <f t="shared" si="271"/>
        <v>100</v>
      </c>
    </row>
    <row r="768" spans="1:9">
      <c r="A768" s="53" t="s">
        <v>514</v>
      </c>
      <c r="B768" s="28" t="s">
        <v>230</v>
      </c>
      <c r="C768" s="28" t="s">
        <v>76</v>
      </c>
      <c r="D768" s="28" t="s">
        <v>483</v>
      </c>
      <c r="E768" s="28" t="s">
        <v>89</v>
      </c>
      <c r="F768" s="37">
        <v>25</v>
      </c>
      <c r="G768" s="37">
        <v>10.11</v>
      </c>
      <c r="H768" s="37">
        <v>25</v>
      </c>
      <c r="I768" s="121">
        <f t="shared" si="271"/>
        <v>100</v>
      </c>
    </row>
    <row r="769" spans="1:9" ht="40.5">
      <c r="A769" s="198" t="s">
        <v>416</v>
      </c>
      <c r="B769" s="132" t="s">
        <v>211</v>
      </c>
      <c r="C769" s="132"/>
      <c r="D769" s="132"/>
      <c r="E769" s="132"/>
      <c r="F769" s="192">
        <f>F770</f>
        <v>1870</v>
      </c>
      <c r="G769" s="192">
        <f t="shared" ref="G769:H772" si="276">G770</f>
        <v>1359.0114799999999</v>
      </c>
      <c r="H769" s="192">
        <f t="shared" si="276"/>
        <v>1870</v>
      </c>
      <c r="I769" s="192">
        <f>H769/F769*100</f>
        <v>100</v>
      </c>
    </row>
    <row r="770" spans="1:9" ht="24">
      <c r="A770" s="52" t="s">
        <v>303</v>
      </c>
      <c r="B770" s="21" t="s">
        <v>212</v>
      </c>
      <c r="C770" s="21"/>
      <c r="D770" s="21"/>
      <c r="E770" s="21"/>
      <c r="F770" s="38">
        <f>F771</f>
        <v>1870</v>
      </c>
      <c r="G770" s="38">
        <f t="shared" si="276"/>
        <v>1359.0114799999999</v>
      </c>
      <c r="H770" s="38">
        <f t="shared" si="276"/>
        <v>1870</v>
      </c>
      <c r="I770" s="112">
        <f t="shared" ref="I770:I786" si="277">H770/F770*100</f>
        <v>100</v>
      </c>
    </row>
    <row r="771" spans="1:9" s="30" customFormat="1">
      <c r="A771" s="51" t="s">
        <v>114</v>
      </c>
      <c r="B771" s="21" t="s">
        <v>213</v>
      </c>
      <c r="C771" s="21" t="s">
        <v>76</v>
      </c>
      <c r="D771" s="21"/>
      <c r="E771" s="21"/>
      <c r="F771" s="38">
        <f>F772</f>
        <v>1870</v>
      </c>
      <c r="G771" s="38">
        <f t="shared" si="276"/>
        <v>1359.0114799999999</v>
      </c>
      <c r="H771" s="38">
        <f t="shared" si="276"/>
        <v>1870</v>
      </c>
      <c r="I771" s="112">
        <f t="shared" si="277"/>
        <v>100</v>
      </c>
    </row>
    <row r="772" spans="1:9" s="30" customFormat="1" ht="36">
      <c r="A772" s="53" t="s">
        <v>79</v>
      </c>
      <c r="B772" s="28" t="s">
        <v>213</v>
      </c>
      <c r="C772" s="28" t="s">
        <v>76</v>
      </c>
      <c r="D772" s="28" t="s">
        <v>78</v>
      </c>
      <c r="E772" s="28" t="s">
        <v>80</v>
      </c>
      <c r="F772" s="37">
        <f>F773</f>
        <v>1870</v>
      </c>
      <c r="G772" s="37">
        <f t="shared" si="276"/>
        <v>1359.0114799999999</v>
      </c>
      <c r="H772" s="37">
        <f t="shared" si="276"/>
        <v>1870</v>
      </c>
      <c r="I772" s="121">
        <f t="shared" si="277"/>
        <v>100</v>
      </c>
    </row>
    <row r="773" spans="1:9" s="30" customFormat="1">
      <c r="A773" s="53" t="s">
        <v>81</v>
      </c>
      <c r="B773" s="28" t="s">
        <v>213</v>
      </c>
      <c r="C773" s="28" t="s">
        <v>76</v>
      </c>
      <c r="D773" s="28" t="s">
        <v>78</v>
      </c>
      <c r="E773" s="28" t="s">
        <v>82</v>
      </c>
      <c r="F773" s="37">
        <v>1870</v>
      </c>
      <c r="G773" s="37">
        <v>1359.0114799999999</v>
      </c>
      <c r="H773" s="37">
        <v>1870</v>
      </c>
      <c r="I773" s="121">
        <f t="shared" si="277"/>
        <v>100</v>
      </c>
    </row>
    <row r="774" spans="1:9" s="30" customFormat="1" ht="27">
      <c r="A774" s="200" t="s">
        <v>418</v>
      </c>
      <c r="B774" s="132" t="s">
        <v>232</v>
      </c>
      <c r="C774" s="199"/>
      <c r="D774" s="199"/>
      <c r="E774" s="199"/>
      <c r="F774" s="192">
        <f>F775+F780</f>
        <v>15171</v>
      </c>
      <c r="G774" s="192">
        <f t="shared" ref="G774:H774" si="278">G775+G780</f>
        <v>9785.22523</v>
      </c>
      <c r="H774" s="192">
        <f t="shared" si="278"/>
        <v>15171</v>
      </c>
      <c r="I774" s="192">
        <f>H774/F774*100</f>
        <v>100</v>
      </c>
    </row>
    <row r="775" spans="1:9" s="30" customFormat="1" ht="24">
      <c r="A775" s="52" t="s">
        <v>419</v>
      </c>
      <c r="B775" s="21" t="s">
        <v>233</v>
      </c>
      <c r="C775" s="21"/>
      <c r="D775" s="21"/>
      <c r="E775" s="21"/>
      <c r="F775" s="38">
        <f>F776</f>
        <v>13120</v>
      </c>
      <c r="G775" s="38">
        <f t="shared" ref="G775:H778" si="279">G776</f>
        <v>8631.6258199999993</v>
      </c>
      <c r="H775" s="38">
        <f t="shared" si="279"/>
        <v>13120</v>
      </c>
      <c r="I775" s="112">
        <f t="shared" si="277"/>
        <v>100</v>
      </c>
    </row>
    <row r="776" spans="1:9" s="30" customFormat="1">
      <c r="A776" s="51" t="s">
        <v>114</v>
      </c>
      <c r="B776" s="21" t="s">
        <v>234</v>
      </c>
      <c r="C776" s="21" t="s">
        <v>76</v>
      </c>
      <c r="D776" s="21"/>
      <c r="E776" s="21"/>
      <c r="F776" s="38">
        <f>F777</f>
        <v>13120</v>
      </c>
      <c r="G776" s="38">
        <f t="shared" si="279"/>
        <v>8631.6258199999993</v>
      </c>
      <c r="H776" s="38">
        <f t="shared" si="279"/>
        <v>13120</v>
      </c>
      <c r="I776" s="112">
        <f t="shared" si="277"/>
        <v>100</v>
      </c>
    </row>
    <row r="777" spans="1:9" ht="24">
      <c r="A777" s="51" t="s">
        <v>315</v>
      </c>
      <c r="B777" s="21" t="s">
        <v>234</v>
      </c>
      <c r="C777" s="21" t="s">
        <v>76</v>
      </c>
      <c r="D777" s="21" t="s">
        <v>302</v>
      </c>
      <c r="E777" s="21"/>
      <c r="F777" s="38">
        <f>F778</f>
        <v>13120</v>
      </c>
      <c r="G777" s="38">
        <f t="shared" si="279"/>
        <v>8631.6258199999993</v>
      </c>
      <c r="H777" s="38">
        <f t="shared" si="279"/>
        <v>13120</v>
      </c>
      <c r="I777" s="112">
        <f t="shared" si="277"/>
        <v>100</v>
      </c>
    </row>
    <row r="778" spans="1:9" s="30" customFormat="1" ht="36">
      <c r="A778" s="53" t="s">
        <v>79</v>
      </c>
      <c r="B778" s="28" t="s">
        <v>234</v>
      </c>
      <c r="C778" s="28" t="s">
        <v>76</v>
      </c>
      <c r="D778" s="28" t="s">
        <v>302</v>
      </c>
      <c r="E778" s="28" t="s">
        <v>80</v>
      </c>
      <c r="F778" s="37">
        <f>F779</f>
        <v>13120</v>
      </c>
      <c r="G778" s="37">
        <f t="shared" si="279"/>
        <v>8631.6258199999993</v>
      </c>
      <c r="H778" s="37">
        <f t="shared" si="279"/>
        <v>13120</v>
      </c>
      <c r="I778" s="121">
        <f t="shared" si="277"/>
        <v>100</v>
      </c>
    </row>
    <row r="779" spans="1:9" s="30" customFormat="1">
      <c r="A779" s="53" t="s">
        <v>81</v>
      </c>
      <c r="B779" s="28" t="s">
        <v>234</v>
      </c>
      <c r="C779" s="28" t="s">
        <v>76</v>
      </c>
      <c r="D779" s="28" t="s">
        <v>302</v>
      </c>
      <c r="E779" s="28" t="s">
        <v>82</v>
      </c>
      <c r="F779" s="37">
        <v>13120</v>
      </c>
      <c r="G779" s="37">
        <v>8631.6258199999993</v>
      </c>
      <c r="H779" s="37">
        <v>13120</v>
      </c>
      <c r="I779" s="121">
        <f t="shared" si="277"/>
        <v>100</v>
      </c>
    </row>
    <row r="780" spans="1:9" s="30" customFormat="1" ht="24">
      <c r="A780" s="51" t="s">
        <v>38</v>
      </c>
      <c r="B780" s="21" t="s">
        <v>233</v>
      </c>
      <c r="C780" s="21"/>
      <c r="D780" s="21"/>
      <c r="E780" s="21"/>
      <c r="F780" s="38">
        <f>F781</f>
        <v>2051</v>
      </c>
      <c r="G780" s="38">
        <f t="shared" ref="G780:H781" si="280">G781</f>
        <v>1153.59941</v>
      </c>
      <c r="H780" s="38">
        <f t="shared" si="280"/>
        <v>2051</v>
      </c>
      <c r="I780" s="112">
        <f t="shared" si="277"/>
        <v>100</v>
      </c>
    </row>
    <row r="781" spans="1:9" s="30" customFormat="1">
      <c r="A781" s="51" t="s">
        <v>114</v>
      </c>
      <c r="B781" s="21" t="s">
        <v>235</v>
      </c>
      <c r="C781" s="21" t="s">
        <v>76</v>
      </c>
      <c r="D781" s="21"/>
      <c r="E781" s="21"/>
      <c r="F781" s="38">
        <f>F782</f>
        <v>2051</v>
      </c>
      <c r="G781" s="38">
        <f t="shared" si="280"/>
        <v>1153.59941</v>
      </c>
      <c r="H781" s="38">
        <f t="shared" si="280"/>
        <v>2051</v>
      </c>
      <c r="I781" s="112">
        <f t="shared" si="277"/>
        <v>100</v>
      </c>
    </row>
    <row r="782" spans="1:9" s="30" customFormat="1" ht="24">
      <c r="A782" s="51" t="s">
        <v>315</v>
      </c>
      <c r="B782" s="21" t="s">
        <v>235</v>
      </c>
      <c r="C782" s="21" t="s">
        <v>76</v>
      </c>
      <c r="D782" s="21" t="s">
        <v>302</v>
      </c>
      <c r="E782" s="21"/>
      <c r="F782" s="38">
        <f>F783+F785</f>
        <v>2051</v>
      </c>
      <c r="G782" s="38">
        <f t="shared" ref="G782:H782" si="281">G783+G785</f>
        <v>1153.59941</v>
      </c>
      <c r="H782" s="38">
        <f t="shared" si="281"/>
        <v>2051</v>
      </c>
      <c r="I782" s="112">
        <f t="shared" si="277"/>
        <v>100</v>
      </c>
    </row>
    <row r="783" spans="1:9" s="30" customFormat="1">
      <c r="A783" s="53" t="s">
        <v>301</v>
      </c>
      <c r="B783" s="28" t="s">
        <v>235</v>
      </c>
      <c r="C783" s="28" t="s">
        <v>76</v>
      </c>
      <c r="D783" s="28" t="s">
        <v>302</v>
      </c>
      <c r="E783" s="28" t="s">
        <v>84</v>
      </c>
      <c r="F783" s="37">
        <f>F784</f>
        <v>2013</v>
      </c>
      <c r="G783" s="37">
        <f t="shared" ref="G783:H783" si="282">G784</f>
        <v>1127.16128</v>
      </c>
      <c r="H783" s="37">
        <f t="shared" si="282"/>
        <v>2013</v>
      </c>
      <c r="I783" s="121">
        <f t="shared" si="277"/>
        <v>100</v>
      </c>
    </row>
    <row r="784" spans="1:9" s="30" customFormat="1" ht="24">
      <c r="A784" s="53" t="s">
        <v>85</v>
      </c>
      <c r="B784" s="28" t="s">
        <v>235</v>
      </c>
      <c r="C784" s="28" t="s">
        <v>76</v>
      </c>
      <c r="D784" s="28" t="s">
        <v>302</v>
      </c>
      <c r="E784" s="28" t="s">
        <v>86</v>
      </c>
      <c r="F784" s="37">
        <f>2018-5</f>
        <v>2013</v>
      </c>
      <c r="G784" s="37">
        <v>1127.16128</v>
      </c>
      <c r="H784" s="37">
        <f>2018-5</f>
        <v>2013</v>
      </c>
      <c r="I784" s="121">
        <f t="shared" si="277"/>
        <v>100</v>
      </c>
    </row>
    <row r="785" spans="1:9" s="30" customFormat="1">
      <c r="A785" s="53" t="s">
        <v>87</v>
      </c>
      <c r="B785" s="28" t="s">
        <v>235</v>
      </c>
      <c r="C785" s="28" t="s">
        <v>76</v>
      </c>
      <c r="D785" s="28" t="s">
        <v>302</v>
      </c>
      <c r="E785" s="28" t="s">
        <v>88</v>
      </c>
      <c r="F785" s="37">
        <f>F786</f>
        <v>38</v>
      </c>
      <c r="G785" s="37">
        <f t="shared" ref="G785:H785" si="283">G786</f>
        <v>26.438130000000001</v>
      </c>
      <c r="H785" s="37">
        <f t="shared" si="283"/>
        <v>38</v>
      </c>
      <c r="I785" s="121">
        <f t="shared" si="277"/>
        <v>100</v>
      </c>
    </row>
    <row r="786" spans="1:9" s="30" customFormat="1">
      <c r="A786" s="53" t="s">
        <v>514</v>
      </c>
      <c r="B786" s="28" t="s">
        <v>235</v>
      </c>
      <c r="C786" s="28" t="s">
        <v>76</v>
      </c>
      <c r="D786" s="28" t="s">
        <v>302</v>
      </c>
      <c r="E786" s="28" t="s">
        <v>89</v>
      </c>
      <c r="F786" s="37">
        <v>38</v>
      </c>
      <c r="G786" s="37">
        <v>26.438130000000001</v>
      </c>
      <c r="H786" s="37">
        <v>38</v>
      </c>
      <c r="I786" s="121">
        <f t="shared" si="277"/>
        <v>100</v>
      </c>
    </row>
    <row r="787" spans="1:9" s="30" customFormat="1" ht="27">
      <c r="A787" s="200" t="s">
        <v>100</v>
      </c>
      <c r="B787" s="132" t="s">
        <v>214</v>
      </c>
      <c r="C787" s="199"/>
      <c r="D787" s="199"/>
      <c r="E787" s="199"/>
      <c r="F787" s="192">
        <f>F788+F795</f>
        <v>16579.599999999999</v>
      </c>
      <c r="G787" s="192">
        <f t="shared" ref="G787:H787" si="284">G788+G795</f>
        <v>11948.83338</v>
      </c>
      <c r="H787" s="192">
        <f t="shared" si="284"/>
        <v>16579.599999999999</v>
      </c>
      <c r="I787" s="192">
        <f>H787/F787*100</f>
        <v>100</v>
      </c>
    </row>
    <row r="788" spans="1:9" s="30" customFormat="1" ht="24">
      <c r="A788" s="52" t="s">
        <v>101</v>
      </c>
      <c r="B788" s="21" t="s">
        <v>215</v>
      </c>
      <c r="C788" s="21"/>
      <c r="D788" s="21"/>
      <c r="E788" s="21"/>
      <c r="F788" s="38">
        <f>F789</f>
        <v>13720</v>
      </c>
      <c r="G788" s="38">
        <f t="shared" ref="G788:H789" si="285">G789</f>
        <v>9976.5458099999996</v>
      </c>
      <c r="H788" s="38">
        <f t="shared" si="285"/>
        <v>13720</v>
      </c>
      <c r="I788" s="38">
        <f>H788/F788*100</f>
        <v>100</v>
      </c>
    </row>
    <row r="789" spans="1:9" s="30" customFormat="1">
      <c r="A789" s="51" t="s">
        <v>114</v>
      </c>
      <c r="B789" s="21" t="s">
        <v>215</v>
      </c>
      <c r="C789" s="21" t="s">
        <v>76</v>
      </c>
      <c r="D789" s="21"/>
      <c r="E789" s="21"/>
      <c r="F789" s="38">
        <f>F790</f>
        <v>13720</v>
      </c>
      <c r="G789" s="38">
        <f t="shared" si="285"/>
        <v>9976.5458099999996</v>
      </c>
      <c r="H789" s="38">
        <f t="shared" si="285"/>
        <v>13720</v>
      </c>
      <c r="I789" s="38">
        <f t="shared" ref="I789:I801" si="286">H789/F789*100</f>
        <v>100</v>
      </c>
    </row>
    <row r="790" spans="1:9" s="30" customFormat="1" ht="24">
      <c r="A790" s="51" t="s">
        <v>315</v>
      </c>
      <c r="B790" s="21" t="s">
        <v>216</v>
      </c>
      <c r="C790" s="21" t="s">
        <v>76</v>
      </c>
      <c r="D790" s="21" t="s">
        <v>302</v>
      </c>
      <c r="E790" s="21"/>
      <c r="F790" s="38">
        <f>F791+F793</f>
        <v>13720</v>
      </c>
      <c r="G790" s="38">
        <f t="shared" ref="G790:H790" si="287">G791+G793</f>
        <v>9976.5458099999996</v>
      </c>
      <c r="H790" s="38">
        <f t="shared" si="287"/>
        <v>13720</v>
      </c>
      <c r="I790" s="37">
        <f t="shared" si="286"/>
        <v>100</v>
      </c>
    </row>
    <row r="791" spans="1:9" s="30" customFormat="1" ht="36">
      <c r="A791" s="53" t="s">
        <v>79</v>
      </c>
      <c r="B791" s="28" t="s">
        <v>216</v>
      </c>
      <c r="C791" s="28" t="s">
        <v>76</v>
      </c>
      <c r="D791" s="28" t="s">
        <v>302</v>
      </c>
      <c r="E791" s="28" t="s">
        <v>80</v>
      </c>
      <c r="F791" s="37">
        <f>F792</f>
        <v>13666.18554</v>
      </c>
      <c r="G791" s="37">
        <f t="shared" ref="G791:H791" si="288">G792</f>
        <v>9922.73135</v>
      </c>
      <c r="H791" s="37">
        <f t="shared" si="288"/>
        <v>13666.18554</v>
      </c>
      <c r="I791" s="37">
        <f t="shared" si="286"/>
        <v>100</v>
      </c>
    </row>
    <row r="792" spans="1:9" s="30" customFormat="1">
      <c r="A792" s="53" t="s">
        <v>81</v>
      </c>
      <c r="B792" s="28" t="s">
        <v>216</v>
      </c>
      <c r="C792" s="28" t="s">
        <v>76</v>
      </c>
      <c r="D792" s="28" t="s">
        <v>302</v>
      </c>
      <c r="E792" s="28" t="s">
        <v>82</v>
      </c>
      <c r="F792" s="37">
        <f>13720-50-3.81446</f>
        <v>13666.18554</v>
      </c>
      <c r="G792" s="37">
        <v>9922.73135</v>
      </c>
      <c r="H792" s="37">
        <f>13720-50-3.81446</f>
        <v>13666.18554</v>
      </c>
      <c r="I792" s="37">
        <f t="shared" si="286"/>
        <v>100</v>
      </c>
    </row>
    <row r="793" spans="1:9" s="30" customFormat="1">
      <c r="A793" s="119" t="s">
        <v>95</v>
      </c>
      <c r="B793" s="28" t="s">
        <v>216</v>
      </c>
      <c r="C793" s="28" t="s">
        <v>76</v>
      </c>
      <c r="D793" s="28" t="s">
        <v>302</v>
      </c>
      <c r="E793" s="28" t="s">
        <v>94</v>
      </c>
      <c r="F793" s="37">
        <f>F794</f>
        <v>53.814459999999997</v>
      </c>
      <c r="G793" s="37">
        <f t="shared" ref="G793:H793" si="289">G794</f>
        <v>53.814459999999997</v>
      </c>
      <c r="H793" s="37">
        <f t="shared" si="289"/>
        <v>53.814459999999997</v>
      </c>
      <c r="I793" s="37">
        <f t="shared" si="286"/>
        <v>100</v>
      </c>
    </row>
    <row r="794" spans="1:9" s="30" customFormat="1" ht="24">
      <c r="A794" s="119" t="s">
        <v>96</v>
      </c>
      <c r="B794" s="28" t="s">
        <v>216</v>
      </c>
      <c r="C794" s="28" t="s">
        <v>76</v>
      </c>
      <c r="D794" s="28" t="s">
        <v>302</v>
      </c>
      <c r="E794" s="28" t="s">
        <v>97</v>
      </c>
      <c r="F794" s="37">
        <f>50+3.81446</f>
        <v>53.814459999999997</v>
      </c>
      <c r="G794" s="37">
        <v>53.814459999999997</v>
      </c>
      <c r="H794" s="37">
        <v>53.814459999999997</v>
      </c>
      <c r="I794" s="37">
        <f t="shared" si="286"/>
        <v>100</v>
      </c>
    </row>
    <row r="795" spans="1:9" s="30" customFormat="1" ht="24">
      <c r="A795" s="51" t="s">
        <v>102</v>
      </c>
      <c r="B795" s="21" t="s">
        <v>215</v>
      </c>
      <c r="C795" s="21"/>
      <c r="D795" s="21"/>
      <c r="E795" s="21"/>
      <c r="F795" s="38">
        <f>F796</f>
        <v>2859.6</v>
      </c>
      <c r="G795" s="38">
        <f t="shared" ref="G795:H796" si="290">G796</f>
        <v>1972.28757</v>
      </c>
      <c r="H795" s="38">
        <f t="shared" si="290"/>
        <v>2859.6</v>
      </c>
      <c r="I795" s="37">
        <f t="shared" si="286"/>
        <v>100</v>
      </c>
    </row>
    <row r="796" spans="1:9" s="30" customFormat="1">
      <c r="A796" s="51" t="s">
        <v>114</v>
      </c>
      <c r="B796" s="21" t="s">
        <v>217</v>
      </c>
      <c r="C796" s="21" t="s">
        <v>76</v>
      </c>
      <c r="D796" s="21"/>
      <c r="E796" s="21"/>
      <c r="F796" s="38">
        <f>F797</f>
        <v>2859.6</v>
      </c>
      <c r="G796" s="38">
        <f t="shared" si="290"/>
        <v>1972.28757</v>
      </c>
      <c r="H796" s="38">
        <f t="shared" si="290"/>
        <v>2859.6</v>
      </c>
      <c r="I796" s="37">
        <f t="shared" si="286"/>
        <v>100</v>
      </c>
    </row>
    <row r="797" spans="1:9" s="30" customFormat="1" ht="24">
      <c r="A797" s="51" t="s">
        <v>315</v>
      </c>
      <c r="B797" s="21" t="s">
        <v>217</v>
      </c>
      <c r="C797" s="21" t="s">
        <v>76</v>
      </c>
      <c r="D797" s="21" t="s">
        <v>302</v>
      </c>
      <c r="E797" s="21"/>
      <c r="F797" s="38">
        <f>F798+F800</f>
        <v>2859.6</v>
      </c>
      <c r="G797" s="38">
        <f t="shared" ref="G797:H797" si="291">G798+G800</f>
        <v>1972.28757</v>
      </c>
      <c r="H797" s="38">
        <f t="shared" si="291"/>
        <v>2859.6</v>
      </c>
      <c r="I797" s="37">
        <f t="shared" si="286"/>
        <v>100</v>
      </c>
    </row>
    <row r="798" spans="1:9" s="30" customFormat="1">
      <c r="A798" s="53" t="s">
        <v>301</v>
      </c>
      <c r="B798" s="28" t="s">
        <v>217</v>
      </c>
      <c r="C798" s="28" t="s">
        <v>76</v>
      </c>
      <c r="D798" s="28" t="s">
        <v>302</v>
      </c>
      <c r="E798" s="28" t="s">
        <v>84</v>
      </c>
      <c r="F798" s="37">
        <f>F799</f>
        <v>2854.6</v>
      </c>
      <c r="G798" s="37">
        <f t="shared" ref="G798:H798" si="292">G799</f>
        <v>1972.28757</v>
      </c>
      <c r="H798" s="37">
        <f t="shared" si="292"/>
        <v>2854.6</v>
      </c>
      <c r="I798" s="37">
        <f t="shared" si="286"/>
        <v>100</v>
      </c>
    </row>
    <row r="799" spans="1:9" s="30" customFormat="1" ht="24">
      <c r="A799" s="53" t="s">
        <v>85</v>
      </c>
      <c r="B799" s="28" t="s">
        <v>217</v>
      </c>
      <c r="C799" s="28" t="s">
        <v>76</v>
      </c>
      <c r="D799" s="28" t="s">
        <v>302</v>
      </c>
      <c r="E799" s="28" t="s">
        <v>86</v>
      </c>
      <c r="F799" s="37">
        <v>2854.6</v>
      </c>
      <c r="G799" s="37">
        <v>1972.28757</v>
      </c>
      <c r="H799" s="37">
        <v>2854.6</v>
      </c>
      <c r="I799" s="37">
        <f t="shared" si="286"/>
        <v>100</v>
      </c>
    </row>
    <row r="800" spans="1:9" s="30" customFormat="1">
      <c r="A800" s="53" t="s">
        <v>87</v>
      </c>
      <c r="B800" s="28" t="s">
        <v>217</v>
      </c>
      <c r="C800" s="28" t="s">
        <v>76</v>
      </c>
      <c r="D800" s="28" t="s">
        <v>302</v>
      </c>
      <c r="E800" s="28" t="s">
        <v>88</v>
      </c>
      <c r="F800" s="37">
        <f>F801</f>
        <v>5</v>
      </c>
      <c r="G800" s="88">
        <f t="shared" ref="G800:H800" si="293">G801</f>
        <v>0</v>
      </c>
      <c r="H800" s="37">
        <f t="shared" si="293"/>
        <v>5</v>
      </c>
      <c r="I800" s="37">
        <f t="shared" si="286"/>
        <v>100</v>
      </c>
    </row>
    <row r="801" spans="1:9" s="30" customFormat="1">
      <c r="A801" s="53" t="s">
        <v>514</v>
      </c>
      <c r="B801" s="28" t="s">
        <v>217</v>
      </c>
      <c r="C801" s="28" t="s">
        <v>76</v>
      </c>
      <c r="D801" s="28" t="s">
        <v>302</v>
      </c>
      <c r="E801" s="28" t="s">
        <v>89</v>
      </c>
      <c r="F801" s="37">
        <v>5</v>
      </c>
      <c r="G801" s="88">
        <v>0</v>
      </c>
      <c r="H801" s="37">
        <v>5</v>
      </c>
      <c r="I801" s="37">
        <f t="shared" si="286"/>
        <v>100</v>
      </c>
    </row>
    <row r="802" spans="1:9" s="30" customFormat="1" ht="13.5">
      <c r="A802" s="200" t="s">
        <v>417</v>
      </c>
      <c r="B802" s="132" t="s">
        <v>214</v>
      </c>
      <c r="C802" s="132"/>
      <c r="D802" s="132"/>
      <c r="E802" s="199"/>
      <c r="F802" s="192">
        <f>F803+F807</f>
        <v>134440.26316</v>
      </c>
      <c r="G802" s="192">
        <f t="shared" ref="G802:H802" si="294">G803+G807</f>
        <v>98492.217389999991</v>
      </c>
      <c r="H802" s="192">
        <f t="shared" si="294"/>
        <v>132440.26316</v>
      </c>
      <c r="I802" s="192">
        <f>H802/F802*100</f>
        <v>98.512350427624668</v>
      </c>
    </row>
    <row r="803" spans="1:9" s="30" customFormat="1" ht="24">
      <c r="A803" s="52" t="s">
        <v>303</v>
      </c>
      <c r="B803" s="21" t="s">
        <v>215</v>
      </c>
      <c r="C803" s="21"/>
      <c r="D803" s="21"/>
      <c r="E803" s="21"/>
      <c r="F803" s="38">
        <f>F804</f>
        <v>110032.58616000001</v>
      </c>
      <c r="G803" s="38">
        <f t="shared" ref="G803:H805" si="295">G804</f>
        <v>86330.733869999996</v>
      </c>
      <c r="H803" s="38">
        <f t="shared" si="295"/>
        <v>108032.58616000001</v>
      </c>
      <c r="I803" s="38">
        <f>H803/F803*100</f>
        <v>98.182356636522414</v>
      </c>
    </row>
    <row r="804" spans="1:9" s="30" customFormat="1">
      <c r="A804" s="51" t="s">
        <v>114</v>
      </c>
      <c r="B804" s="21" t="s">
        <v>216</v>
      </c>
      <c r="C804" s="21" t="s">
        <v>76</v>
      </c>
      <c r="D804" s="21"/>
      <c r="E804" s="21"/>
      <c r="F804" s="38">
        <f>F805</f>
        <v>110032.58616000001</v>
      </c>
      <c r="G804" s="38">
        <f t="shared" si="295"/>
        <v>86330.733869999996</v>
      </c>
      <c r="H804" s="38">
        <f t="shared" si="295"/>
        <v>108032.58616000001</v>
      </c>
      <c r="I804" s="38">
        <f t="shared" ref="I804:I812" si="296">H804/F804*100</f>
        <v>98.182356636522414</v>
      </c>
    </row>
    <row r="805" spans="1:9" s="30" customFormat="1" ht="36">
      <c r="A805" s="53" t="s">
        <v>79</v>
      </c>
      <c r="B805" s="28" t="s">
        <v>216</v>
      </c>
      <c r="C805" s="28" t="s">
        <v>76</v>
      </c>
      <c r="D805" s="28" t="s">
        <v>78</v>
      </c>
      <c r="E805" s="28" t="s">
        <v>80</v>
      </c>
      <c r="F805" s="37">
        <f>F806</f>
        <v>110032.58616000001</v>
      </c>
      <c r="G805" s="37">
        <f t="shared" si="295"/>
        <v>86330.733869999996</v>
      </c>
      <c r="H805" s="37">
        <f t="shared" si="295"/>
        <v>108032.58616000001</v>
      </c>
      <c r="I805" s="37">
        <f t="shared" si="296"/>
        <v>98.182356636522414</v>
      </c>
    </row>
    <row r="806" spans="1:9" s="30" customFormat="1">
      <c r="A806" s="53" t="s">
        <v>81</v>
      </c>
      <c r="B806" s="28" t="s">
        <v>216</v>
      </c>
      <c r="C806" s="28" t="s">
        <v>76</v>
      </c>
      <c r="D806" s="28" t="s">
        <v>78</v>
      </c>
      <c r="E806" s="28" t="s">
        <v>82</v>
      </c>
      <c r="F806" s="37">
        <f>109840+192.58616</f>
        <v>110032.58616000001</v>
      </c>
      <c r="G806" s="37">
        <v>86330.733869999996</v>
      </c>
      <c r="H806" s="37">
        <f>109840+192.58616-2000</f>
        <v>108032.58616000001</v>
      </c>
      <c r="I806" s="37">
        <f t="shared" si="296"/>
        <v>98.182356636522414</v>
      </c>
    </row>
    <row r="807" spans="1:9" s="30" customFormat="1">
      <c r="A807" s="51" t="s">
        <v>83</v>
      </c>
      <c r="B807" s="21" t="s">
        <v>215</v>
      </c>
      <c r="C807" s="21"/>
      <c r="D807" s="21"/>
      <c r="E807" s="21"/>
      <c r="F807" s="38">
        <f>F808</f>
        <v>24407.677</v>
      </c>
      <c r="G807" s="38">
        <f t="shared" ref="G807:H807" si="297">G808</f>
        <v>12161.48352</v>
      </c>
      <c r="H807" s="38">
        <f t="shared" si="297"/>
        <v>24407.677</v>
      </c>
      <c r="I807" s="38">
        <f t="shared" si="296"/>
        <v>100</v>
      </c>
    </row>
    <row r="808" spans="1:9" s="30" customFormat="1">
      <c r="A808" s="51" t="s">
        <v>114</v>
      </c>
      <c r="B808" s="21" t="s">
        <v>217</v>
      </c>
      <c r="C808" s="21" t="s">
        <v>76</v>
      </c>
      <c r="D808" s="21"/>
      <c r="E808" s="21"/>
      <c r="F808" s="38">
        <f>F809+F811</f>
        <v>24407.677</v>
      </c>
      <c r="G808" s="38">
        <f t="shared" ref="G808:H808" si="298">G809+G811</f>
        <v>12161.48352</v>
      </c>
      <c r="H808" s="38">
        <f t="shared" si="298"/>
        <v>24407.677</v>
      </c>
      <c r="I808" s="38">
        <f t="shared" si="296"/>
        <v>100</v>
      </c>
    </row>
    <row r="809" spans="1:9" s="30" customFormat="1">
      <c r="A809" s="53" t="s">
        <v>301</v>
      </c>
      <c r="B809" s="28" t="s">
        <v>217</v>
      </c>
      <c r="C809" s="28" t="s">
        <v>76</v>
      </c>
      <c r="D809" s="28" t="s">
        <v>78</v>
      </c>
      <c r="E809" s="28" t="s">
        <v>84</v>
      </c>
      <c r="F809" s="37">
        <f>F810</f>
        <v>23045</v>
      </c>
      <c r="G809" s="37">
        <f t="shared" ref="G809:H809" si="299">G810</f>
        <v>11263.38535</v>
      </c>
      <c r="H809" s="37">
        <f t="shared" si="299"/>
        <v>23045</v>
      </c>
      <c r="I809" s="37">
        <f t="shared" si="296"/>
        <v>100</v>
      </c>
    </row>
    <row r="810" spans="1:9" s="30" customFormat="1" ht="24">
      <c r="A810" s="53" t="s">
        <v>85</v>
      </c>
      <c r="B810" s="28" t="s">
        <v>217</v>
      </c>
      <c r="C810" s="28" t="s">
        <v>76</v>
      </c>
      <c r="D810" s="28" t="s">
        <v>78</v>
      </c>
      <c r="E810" s="28" t="s">
        <v>86</v>
      </c>
      <c r="F810" s="37">
        <f>22745+300</f>
        <v>23045</v>
      </c>
      <c r="G810" s="37">
        <v>11263.38535</v>
      </c>
      <c r="H810" s="37">
        <f>22745+300</f>
        <v>23045</v>
      </c>
      <c r="I810" s="37">
        <f t="shared" si="296"/>
        <v>100</v>
      </c>
    </row>
    <row r="811" spans="1:9" s="30" customFormat="1">
      <c r="A811" s="53" t="s">
        <v>87</v>
      </c>
      <c r="B811" s="28" t="s">
        <v>217</v>
      </c>
      <c r="C811" s="28" t="s">
        <v>76</v>
      </c>
      <c r="D811" s="28" t="s">
        <v>78</v>
      </c>
      <c r="E811" s="28" t="s">
        <v>88</v>
      </c>
      <c r="F811" s="37">
        <f>F812</f>
        <v>1362.6769999999999</v>
      </c>
      <c r="G811" s="37">
        <f t="shared" ref="G811:H811" si="300">G812</f>
        <v>898.09816999999998</v>
      </c>
      <c r="H811" s="37">
        <f t="shared" si="300"/>
        <v>1362.6769999999999</v>
      </c>
      <c r="I811" s="37">
        <f t="shared" si="296"/>
        <v>100</v>
      </c>
    </row>
    <row r="812" spans="1:9" s="30" customFormat="1">
      <c r="A812" s="53" t="s">
        <v>514</v>
      </c>
      <c r="B812" s="28" t="s">
        <v>217</v>
      </c>
      <c r="C812" s="28" t="s">
        <v>76</v>
      </c>
      <c r="D812" s="28" t="s">
        <v>78</v>
      </c>
      <c r="E812" s="28" t="s">
        <v>89</v>
      </c>
      <c r="F812" s="37">
        <f>831+500-8.323+40</f>
        <v>1362.6769999999999</v>
      </c>
      <c r="G812" s="37">
        <v>898.09816999999998</v>
      </c>
      <c r="H812" s="37">
        <f>831+500-8.323+40</f>
        <v>1362.6769999999999</v>
      </c>
      <c r="I812" s="37">
        <f t="shared" si="296"/>
        <v>100</v>
      </c>
    </row>
    <row r="813" spans="1:9" s="30" customFormat="1" ht="13.5">
      <c r="A813" s="200" t="s">
        <v>417</v>
      </c>
      <c r="B813" s="132" t="s">
        <v>214</v>
      </c>
      <c r="C813" s="132"/>
      <c r="D813" s="132"/>
      <c r="E813" s="132"/>
      <c r="F813" s="192">
        <f>F814+F819</f>
        <v>6630</v>
      </c>
      <c r="G813" s="192">
        <f t="shared" ref="G813:H813" si="301">G814+G819</f>
        <v>4525.4256800000003</v>
      </c>
      <c r="H813" s="192">
        <f t="shared" si="301"/>
        <v>6630</v>
      </c>
      <c r="I813" s="192">
        <f>H813/F813*100</f>
        <v>100</v>
      </c>
    </row>
    <row r="814" spans="1:9" s="30" customFormat="1" ht="24">
      <c r="A814" s="52" t="s">
        <v>303</v>
      </c>
      <c r="B814" s="21" t="s">
        <v>215</v>
      </c>
      <c r="C814" s="21"/>
      <c r="D814" s="21"/>
      <c r="E814" s="21"/>
      <c r="F814" s="38">
        <f>F815</f>
        <v>5670</v>
      </c>
      <c r="G814" s="38">
        <f t="shared" ref="G814:H817" si="302">G815</f>
        <v>4143.5008500000004</v>
      </c>
      <c r="H814" s="38">
        <f t="shared" si="302"/>
        <v>5670</v>
      </c>
      <c r="I814" s="38">
        <f>H814/F814*100</f>
        <v>100</v>
      </c>
    </row>
    <row r="815" spans="1:9" s="30" customFormat="1">
      <c r="A815" s="51" t="s">
        <v>375</v>
      </c>
      <c r="B815" s="21" t="s">
        <v>216</v>
      </c>
      <c r="C815" s="21" t="s">
        <v>432</v>
      </c>
      <c r="D815" s="21"/>
      <c r="E815" s="21"/>
      <c r="F815" s="38">
        <f>F816</f>
        <v>5670</v>
      </c>
      <c r="G815" s="38">
        <f t="shared" si="302"/>
        <v>4143.5008500000004</v>
      </c>
      <c r="H815" s="38">
        <f t="shared" si="302"/>
        <v>5670</v>
      </c>
      <c r="I815" s="38">
        <f t="shared" ref="I815:I825" si="303">H815/F815*100</f>
        <v>100</v>
      </c>
    </row>
    <row r="816" spans="1:9" s="30" customFormat="1">
      <c r="A816" s="54" t="s">
        <v>380</v>
      </c>
      <c r="B816" s="21" t="s">
        <v>216</v>
      </c>
      <c r="C816" s="21" t="s">
        <v>432</v>
      </c>
      <c r="D816" s="21" t="s">
        <v>432</v>
      </c>
      <c r="E816" s="21"/>
      <c r="F816" s="38">
        <f>F817</f>
        <v>5670</v>
      </c>
      <c r="G816" s="38">
        <f t="shared" si="302"/>
        <v>4143.5008500000004</v>
      </c>
      <c r="H816" s="38">
        <f t="shared" si="302"/>
        <v>5670</v>
      </c>
      <c r="I816" s="38">
        <f t="shared" si="303"/>
        <v>100</v>
      </c>
    </row>
    <row r="817" spans="1:9" s="30" customFormat="1" ht="36">
      <c r="A817" s="53" t="s">
        <v>79</v>
      </c>
      <c r="B817" s="28" t="s">
        <v>216</v>
      </c>
      <c r="C817" s="28" t="s">
        <v>432</v>
      </c>
      <c r="D817" s="28" t="s">
        <v>432</v>
      </c>
      <c r="E817" s="28" t="s">
        <v>80</v>
      </c>
      <c r="F817" s="37">
        <f>F818</f>
        <v>5670</v>
      </c>
      <c r="G817" s="37">
        <f t="shared" si="302"/>
        <v>4143.5008500000004</v>
      </c>
      <c r="H817" s="37">
        <f t="shared" si="302"/>
        <v>5670</v>
      </c>
      <c r="I817" s="37">
        <f t="shared" si="303"/>
        <v>100</v>
      </c>
    </row>
    <row r="818" spans="1:9" s="30" customFormat="1">
      <c r="A818" s="53" t="s">
        <v>81</v>
      </c>
      <c r="B818" s="28" t="s">
        <v>216</v>
      </c>
      <c r="C818" s="28" t="s">
        <v>432</v>
      </c>
      <c r="D818" s="28" t="s">
        <v>432</v>
      </c>
      <c r="E818" s="28" t="s">
        <v>82</v>
      </c>
      <c r="F818" s="37">
        <v>5670</v>
      </c>
      <c r="G818" s="37">
        <v>4143.5008500000004</v>
      </c>
      <c r="H818" s="37">
        <v>5670</v>
      </c>
      <c r="I818" s="37">
        <f t="shared" si="303"/>
        <v>100</v>
      </c>
    </row>
    <row r="819" spans="1:9" s="30" customFormat="1">
      <c r="A819" s="51" t="s">
        <v>83</v>
      </c>
      <c r="B819" s="21" t="s">
        <v>215</v>
      </c>
      <c r="C819" s="21"/>
      <c r="D819" s="21"/>
      <c r="E819" s="21"/>
      <c r="F819" s="38">
        <f>F820</f>
        <v>960</v>
      </c>
      <c r="G819" s="38">
        <f t="shared" ref="G819:H820" si="304">G820</f>
        <v>381.92482999999999</v>
      </c>
      <c r="H819" s="38">
        <f t="shared" si="304"/>
        <v>960</v>
      </c>
      <c r="I819" s="38">
        <f t="shared" si="303"/>
        <v>100</v>
      </c>
    </row>
    <row r="820" spans="1:9" s="30" customFormat="1">
      <c r="A820" s="51" t="s">
        <v>375</v>
      </c>
      <c r="B820" s="21" t="s">
        <v>217</v>
      </c>
      <c r="C820" s="21" t="s">
        <v>432</v>
      </c>
      <c r="D820" s="21"/>
      <c r="E820" s="21"/>
      <c r="F820" s="38">
        <f>F821</f>
        <v>960</v>
      </c>
      <c r="G820" s="38">
        <f t="shared" si="304"/>
        <v>381.92482999999999</v>
      </c>
      <c r="H820" s="38">
        <f t="shared" si="304"/>
        <v>960</v>
      </c>
      <c r="I820" s="38">
        <f t="shared" si="303"/>
        <v>100</v>
      </c>
    </row>
    <row r="821" spans="1:9" s="30" customFormat="1">
      <c r="A821" s="54" t="s">
        <v>380</v>
      </c>
      <c r="B821" s="28" t="s">
        <v>217</v>
      </c>
      <c r="C821" s="21" t="s">
        <v>432</v>
      </c>
      <c r="D821" s="21" t="s">
        <v>432</v>
      </c>
      <c r="E821" s="21"/>
      <c r="F821" s="38">
        <f>F822+F824</f>
        <v>960</v>
      </c>
      <c r="G821" s="38">
        <f t="shared" ref="G821:H821" si="305">G822+G824</f>
        <v>381.92482999999999</v>
      </c>
      <c r="H821" s="38">
        <f t="shared" si="305"/>
        <v>960</v>
      </c>
      <c r="I821" s="38">
        <f t="shared" si="303"/>
        <v>100</v>
      </c>
    </row>
    <row r="822" spans="1:9" s="30" customFormat="1">
      <c r="A822" s="53" t="s">
        <v>301</v>
      </c>
      <c r="B822" s="28" t="s">
        <v>217</v>
      </c>
      <c r="C822" s="28" t="s">
        <v>432</v>
      </c>
      <c r="D822" s="28" t="s">
        <v>432</v>
      </c>
      <c r="E822" s="28" t="s">
        <v>84</v>
      </c>
      <c r="F822" s="37">
        <f>F823</f>
        <v>810</v>
      </c>
      <c r="G822" s="37">
        <f t="shared" ref="G822:H822" si="306">G823</f>
        <v>381.75594999999998</v>
      </c>
      <c r="H822" s="37">
        <f t="shared" si="306"/>
        <v>810</v>
      </c>
      <c r="I822" s="37">
        <f t="shared" si="303"/>
        <v>100</v>
      </c>
    </row>
    <row r="823" spans="1:9" s="30" customFormat="1" ht="24">
      <c r="A823" s="53" t="s">
        <v>85</v>
      </c>
      <c r="B823" s="28" t="s">
        <v>217</v>
      </c>
      <c r="C823" s="28" t="s">
        <v>432</v>
      </c>
      <c r="D823" s="28" t="s">
        <v>432</v>
      </c>
      <c r="E823" s="28" t="s">
        <v>86</v>
      </c>
      <c r="F823" s="37">
        <v>810</v>
      </c>
      <c r="G823" s="37">
        <v>381.75594999999998</v>
      </c>
      <c r="H823" s="37">
        <v>810</v>
      </c>
      <c r="I823" s="37">
        <f t="shared" si="303"/>
        <v>100</v>
      </c>
    </row>
    <row r="824" spans="1:9" s="30" customFormat="1">
      <c r="A824" s="53" t="s">
        <v>87</v>
      </c>
      <c r="B824" s="28" t="s">
        <v>217</v>
      </c>
      <c r="C824" s="28" t="s">
        <v>432</v>
      </c>
      <c r="D824" s="28" t="s">
        <v>432</v>
      </c>
      <c r="E824" s="28" t="s">
        <v>88</v>
      </c>
      <c r="F824" s="37">
        <f>F825</f>
        <v>150</v>
      </c>
      <c r="G824" s="37">
        <f t="shared" ref="G824:H824" si="307">G825</f>
        <v>0.16888</v>
      </c>
      <c r="H824" s="37">
        <f t="shared" si="307"/>
        <v>150</v>
      </c>
      <c r="I824" s="37">
        <f t="shared" si="303"/>
        <v>100</v>
      </c>
    </row>
    <row r="825" spans="1:9" s="30" customFormat="1">
      <c r="A825" s="53" t="s">
        <v>514</v>
      </c>
      <c r="B825" s="28" t="s">
        <v>217</v>
      </c>
      <c r="C825" s="28" t="s">
        <v>432</v>
      </c>
      <c r="D825" s="28" t="s">
        <v>432</v>
      </c>
      <c r="E825" s="28" t="s">
        <v>89</v>
      </c>
      <c r="F825" s="37">
        <v>150</v>
      </c>
      <c r="G825" s="37">
        <v>0.16888</v>
      </c>
      <c r="H825" s="37">
        <v>150</v>
      </c>
      <c r="I825" s="37">
        <f t="shared" si="303"/>
        <v>100</v>
      </c>
    </row>
    <row r="826" spans="1:9" s="30" customFormat="1">
      <c r="A826" s="67" t="s">
        <v>304</v>
      </c>
      <c r="B826" s="58"/>
      <c r="C826" s="58"/>
      <c r="D826" s="58"/>
      <c r="E826" s="58"/>
      <c r="F826" s="82">
        <f>F827+F832+F841+F846+F855+F860+F865+F870+F879+F884+F889+F894+F900+F911+F916+F921+F928+F934+F939+F944+F955+F961+F966+F971</f>
        <v>290832.02484000003</v>
      </c>
      <c r="G826" s="82">
        <f t="shared" ref="G826:H826" si="308">G827+G832+G841+G846+G855+G860+G865+G870+G879+G884+G889+G894+G900+G911+G916+G921+G928+G934+G939+G944+G955+G961+G966+G971</f>
        <v>154480.68674999999</v>
      </c>
      <c r="H826" s="82">
        <f t="shared" si="308"/>
        <v>229609.06429000001</v>
      </c>
      <c r="I826" s="82">
        <f>H826/F826*100</f>
        <v>78.949030601536549</v>
      </c>
    </row>
    <row r="827" spans="1:9" s="30" customFormat="1" ht="13.5">
      <c r="A827" s="198" t="s">
        <v>91</v>
      </c>
      <c r="B827" s="132" t="s">
        <v>215</v>
      </c>
      <c r="C827" s="132"/>
      <c r="D827" s="132"/>
      <c r="E827" s="132"/>
      <c r="F827" s="192">
        <f>F828</f>
        <v>13000</v>
      </c>
      <c r="G827" s="225">
        <f t="shared" ref="G827:H830" si="309">G828</f>
        <v>0</v>
      </c>
      <c r="H827" s="225">
        <f t="shared" si="309"/>
        <v>3000</v>
      </c>
      <c r="I827" s="192">
        <f>H827/F827*100</f>
        <v>23.076923076923077</v>
      </c>
    </row>
    <row r="828" spans="1:9" s="30" customFormat="1">
      <c r="A828" s="51" t="s">
        <v>114</v>
      </c>
      <c r="B828" s="21" t="s">
        <v>321</v>
      </c>
      <c r="C828" s="21" t="s">
        <v>76</v>
      </c>
      <c r="D828" s="21"/>
      <c r="E828" s="21"/>
      <c r="F828" s="38">
        <f>F829</f>
        <v>13000</v>
      </c>
      <c r="G828" s="226">
        <f t="shared" si="309"/>
        <v>0</v>
      </c>
      <c r="H828" s="226">
        <f t="shared" si="309"/>
        <v>3000</v>
      </c>
      <c r="I828" s="38">
        <f>H828/F828*100</f>
        <v>23.076923076923077</v>
      </c>
    </row>
    <row r="829" spans="1:9" s="30" customFormat="1">
      <c r="A829" s="51" t="s">
        <v>317</v>
      </c>
      <c r="B829" s="21" t="s">
        <v>321</v>
      </c>
      <c r="C829" s="21" t="s">
        <v>76</v>
      </c>
      <c r="D829" s="21" t="s">
        <v>90</v>
      </c>
      <c r="E829" s="28"/>
      <c r="F829" s="38">
        <f>F830</f>
        <v>13000</v>
      </c>
      <c r="G829" s="226">
        <f t="shared" si="309"/>
        <v>0</v>
      </c>
      <c r="H829" s="226">
        <f t="shared" si="309"/>
        <v>3000</v>
      </c>
      <c r="I829" s="38">
        <f t="shared" ref="I829:I831" si="310">H829/F829*100</f>
        <v>23.076923076923077</v>
      </c>
    </row>
    <row r="830" spans="1:9" s="30" customFormat="1">
      <c r="A830" s="53" t="s">
        <v>87</v>
      </c>
      <c r="B830" s="28" t="s">
        <v>321</v>
      </c>
      <c r="C830" s="28" t="s">
        <v>76</v>
      </c>
      <c r="D830" s="28" t="s">
        <v>90</v>
      </c>
      <c r="E830" s="28" t="s">
        <v>88</v>
      </c>
      <c r="F830" s="37">
        <f>F831</f>
        <v>13000</v>
      </c>
      <c r="G830" s="227">
        <f t="shared" si="309"/>
        <v>0</v>
      </c>
      <c r="H830" s="227">
        <f t="shared" si="309"/>
        <v>3000</v>
      </c>
      <c r="I830" s="37">
        <f t="shared" si="310"/>
        <v>23.076923076923077</v>
      </c>
    </row>
    <row r="831" spans="1:9" s="30" customFormat="1">
      <c r="A831" s="53" t="s">
        <v>92</v>
      </c>
      <c r="B831" s="28" t="s">
        <v>321</v>
      </c>
      <c r="C831" s="28" t="s">
        <v>76</v>
      </c>
      <c r="D831" s="28" t="s">
        <v>90</v>
      </c>
      <c r="E831" s="28" t="s">
        <v>437</v>
      </c>
      <c r="F831" s="37">
        <f>3000+10000</f>
        <v>13000</v>
      </c>
      <c r="G831" s="227">
        <v>0</v>
      </c>
      <c r="H831" s="37">
        <v>3000</v>
      </c>
      <c r="I831" s="37">
        <f t="shared" si="310"/>
        <v>23.076923076923077</v>
      </c>
    </row>
    <row r="832" spans="1:9" s="30" customFormat="1" ht="27">
      <c r="A832" s="198" t="s">
        <v>50</v>
      </c>
      <c r="B832" s="132" t="s">
        <v>215</v>
      </c>
      <c r="C832" s="132"/>
      <c r="D832" s="132"/>
      <c r="E832" s="132"/>
      <c r="F832" s="192">
        <f>F833</f>
        <v>42202</v>
      </c>
      <c r="G832" s="192">
        <f t="shared" ref="G832:H833" si="311">G833</f>
        <v>33070.294470000001</v>
      </c>
      <c r="H832" s="192">
        <f t="shared" si="311"/>
        <v>42202</v>
      </c>
      <c r="I832" s="192">
        <f>H832/F832*100</f>
        <v>100</v>
      </c>
    </row>
    <row r="833" spans="1:9" s="30" customFormat="1">
      <c r="A833" s="51" t="s">
        <v>114</v>
      </c>
      <c r="B833" s="21" t="s">
        <v>322</v>
      </c>
      <c r="C833" s="33" t="s">
        <v>76</v>
      </c>
      <c r="D833" s="33"/>
      <c r="E833" s="33"/>
      <c r="F833" s="83">
        <f>F834</f>
        <v>42202</v>
      </c>
      <c r="G833" s="83">
        <f t="shared" si="311"/>
        <v>33070.294470000001</v>
      </c>
      <c r="H833" s="83">
        <f t="shared" si="311"/>
        <v>42202</v>
      </c>
      <c r="I833" s="38">
        <f>H833/F833*100</f>
        <v>100</v>
      </c>
    </row>
    <row r="834" spans="1:9" s="30" customFormat="1">
      <c r="A834" s="51" t="s">
        <v>427</v>
      </c>
      <c r="B834" s="21" t="s">
        <v>322</v>
      </c>
      <c r="C834" s="33" t="s">
        <v>76</v>
      </c>
      <c r="D834" s="33" t="s">
        <v>93</v>
      </c>
      <c r="E834" s="33"/>
      <c r="F834" s="83">
        <f>F835+F837+F839</f>
        <v>42202</v>
      </c>
      <c r="G834" s="83">
        <f t="shared" ref="G834:H834" si="312">G835+G837+G839</f>
        <v>33070.294470000001</v>
      </c>
      <c r="H834" s="83">
        <f t="shared" si="312"/>
        <v>42202</v>
      </c>
      <c r="I834" s="38">
        <f t="shared" ref="I834:I840" si="313">H834/F834*100</f>
        <v>100</v>
      </c>
    </row>
    <row r="835" spans="1:9" s="30" customFormat="1" ht="36">
      <c r="A835" s="53" t="s">
        <v>79</v>
      </c>
      <c r="B835" s="28" t="s">
        <v>322</v>
      </c>
      <c r="C835" s="28" t="s">
        <v>76</v>
      </c>
      <c r="D835" s="28" t="s">
        <v>93</v>
      </c>
      <c r="E835" s="28" t="s">
        <v>80</v>
      </c>
      <c r="F835" s="37">
        <f>F836</f>
        <v>33260</v>
      </c>
      <c r="G835" s="37">
        <f t="shared" ref="G835:H835" si="314">G836</f>
        <v>27348.896280000001</v>
      </c>
      <c r="H835" s="37">
        <f t="shared" si="314"/>
        <v>33260</v>
      </c>
      <c r="I835" s="37">
        <f t="shared" si="313"/>
        <v>100</v>
      </c>
    </row>
    <row r="836" spans="1:9" s="30" customFormat="1">
      <c r="A836" s="53" t="s">
        <v>486</v>
      </c>
      <c r="B836" s="28" t="s">
        <v>322</v>
      </c>
      <c r="C836" s="28" t="s">
        <v>76</v>
      </c>
      <c r="D836" s="28" t="s">
        <v>93</v>
      </c>
      <c r="E836" s="28" t="s">
        <v>487</v>
      </c>
      <c r="F836" s="37">
        <f>34260-1000</f>
        <v>33260</v>
      </c>
      <c r="G836" s="37">
        <v>27348.896280000001</v>
      </c>
      <c r="H836" s="37">
        <f>34260-1000</f>
        <v>33260</v>
      </c>
      <c r="I836" s="37">
        <f t="shared" si="313"/>
        <v>100</v>
      </c>
    </row>
    <row r="837" spans="1:9" s="30" customFormat="1">
      <c r="A837" s="53" t="s">
        <v>301</v>
      </c>
      <c r="B837" s="28" t="s">
        <v>322</v>
      </c>
      <c r="C837" s="28" t="s">
        <v>76</v>
      </c>
      <c r="D837" s="28" t="s">
        <v>93</v>
      </c>
      <c r="E837" s="28" t="s">
        <v>84</v>
      </c>
      <c r="F837" s="37">
        <f>F838</f>
        <v>8692</v>
      </c>
      <c r="G837" s="37">
        <f t="shared" ref="G837:H837" si="315">G838</f>
        <v>5636.9781700000003</v>
      </c>
      <c r="H837" s="37">
        <f t="shared" si="315"/>
        <v>8692</v>
      </c>
      <c r="I837" s="37">
        <f t="shared" si="313"/>
        <v>100</v>
      </c>
    </row>
    <row r="838" spans="1:9" s="30" customFormat="1" ht="24">
      <c r="A838" s="53" t="s">
        <v>85</v>
      </c>
      <c r="B838" s="28" t="s">
        <v>322</v>
      </c>
      <c r="C838" s="28" t="s">
        <v>76</v>
      </c>
      <c r="D838" s="28" t="s">
        <v>93</v>
      </c>
      <c r="E838" s="28" t="s">
        <v>86</v>
      </c>
      <c r="F838" s="37">
        <f>7692+1000</f>
        <v>8692</v>
      </c>
      <c r="G838" s="37">
        <v>5636.9781700000003</v>
      </c>
      <c r="H838" s="37">
        <f>7692+1000</f>
        <v>8692</v>
      </c>
      <c r="I838" s="37">
        <f t="shared" si="313"/>
        <v>100</v>
      </c>
    </row>
    <row r="839" spans="1:9" s="30" customFormat="1">
      <c r="A839" s="53" t="s">
        <v>87</v>
      </c>
      <c r="B839" s="28" t="s">
        <v>322</v>
      </c>
      <c r="C839" s="28" t="s">
        <v>76</v>
      </c>
      <c r="D839" s="28" t="s">
        <v>93</v>
      </c>
      <c r="E839" s="28" t="s">
        <v>88</v>
      </c>
      <c r="F839" s="37">
        <f>F840</f>
        <v>250</v>
      </c>
      <c r="G839" s="37">
        <f t="shared" ref="G839:H839" si="316">G840</f>
        <v>84.420019999999994</v>
      </c>
      <c r="H839" s="37">
        <f t="shared" si="316"/>
        <v>250</v>
      </c>
      <c r="I839" s="37">
        <f t="shared" si="313"/>
        <v>100</v>
      </c>
    </row>
    <row r="840" spans="1:9" s="30" customFormat="1">
      <c r="A840" s="53" t="s">
        <v>514</v>
      </c>
      <c r="B840" s="28" t="s">
        <v>322</v>
      </c>
      <c r="C840" s="28" t="s">
        <v>76</v>
      </c>
      <c r="D840" s="28" t="s">
        <v>93</v>
      </c>
      <c r="E840" s="28" t="s">
        <v>89</v>
      </c>
      <c r="F840" s="37">
        <v>250</v>
      </c>
      <c r="G840" s="37">
        <v>84.420019999999994</v>
      </c>
      <c r="H840" s="37">
        <v>250</v>
      </c>
      <c r="I840" s="37">
        <f t="shared" si="313"/>
        <v>100</v>
      </c>
    </row>
    <row r="841" spans="1:9" s="30" customFormat="1" ht="27">
      <c r="A841" s="131" t="s">
        <v>128</v>
      </c>
      <c r="B841" s="132" t="s">
        <v>215</v>
      </c>
      <c r="C841" s="132"/>
      <c r="D841" s="132"/>
      <c r="E841" s="132"/>
      <c r="F841" s="192">
        <f>F842</f>
        <v>2880</v>
      </c>
      <c r="G841" s="192">
        <f t="shared" ref="G841:H844" si="317">G842</f>
        <v>2105.6434599999998</v>
      </c>
      <c r="H841" s="192">
        <f t="shared" si="317"/>
        <v>2880</v>
      </c>
      <c r="I841" s="192">
        <f>H841/F841*100</f>
        <v>100</v>
      </c>
    </row>
    <row r="842" spans="1:9" s="30" customFormat="1">
      <c r="A842" s="51" t="s">
        <v>114</v>
      </c>
      <c r="B842" s="21" t="s">
        <v>327</v>
      </c>
      <c r="C842" s="33" t="s">
        <v>76</v>
      </c>
      <c r="D842" s="33"/>
      <c r="E842" s="21"/>
      <c r="F842" s="38">
        <f>F843</f>
        <v>2880</v>
      </c>
      <c r="G842" s="38">
        <f t="shared" si="317"/>
        <v>2105.6434599999998</v>
      </c>
      <c r="H842" s="38">
        <f t="shared" si="317"/>
        <v>2880</v>
      </c>
      <c r="I842" s="38">
        <f>H842/F842*100</f>
        <v>100</v>
      </c>
    </row>
    <row r="843" spans="1:9" s="30" customFormat="1">
      <c r="A843" s="51" t="s">
        <v>427</v>
      </c>
      <c r="B843" s="21" t="s">
        <v>327</v>
      </c>
      <c r="C843" s="33" t="s">
        <v>76</v>
      </c>
      <c r="D843" s="33" t="s">
        <v>93</v>
      </c>
      <c r="E843" s="21"/>
      <c r="F843" s="38">
        <f>F844</f>
        <v>2880</v>
      </c>
      <c r="G843" s="38">
        <f t="shared" si="317"/>
        <v>2105.6434599999998</v>
      </c>
      <c r="H843" s="38">
        <f t="shared" si="317"/>
        <v>2880</v>
      </c>
      <c r="I843" s="38">
        <f t="shared" ref="I843:I845" si="318">H843/F843*100</f>
        <v>100</v>
      </c>
    </row>
    <row r="844" spans="1:9" s="30" customFormat="1" ht="24">
      <c r="A844" s="72" t="s">
        <v>104</v>
      </c>
      <c r="B844" s="28" t="s">
        <v>327</v>
      </c>
      <c r="C844" s="28" t="s">
        <v>76</v>
      </c>
      <c r="D844" s="28" t="s">
        <v>93</v>
      </c>
      <c r="E844" s="28" t="s">
        <v>408</v>
      </c>
      <c r="F844" s="37">
        <f>F845</f>
        <v>2880</v>
      </c>
      <c r="G844" s="37">
        <f t="shared" si="317"/>
        <v>2105.6434599999998</v>
      </c>
      <c r="H844" s="37">
        <f t="shared" si="317"/>
        <v>2880</v>
      </c>
      <c r="I844" s="37">
        <f t="shared" si="318"/>
        <v>100</v>
      </c>
    </row>
    <row r="845" spans="1:9" s="30" customFormat="1">
      <c r="A845" s="72" t="s">
        <v>105</v>
      </c>
      <c r="B845" s="28" t="s">
        <v>327</v>
      </c>
      <c r="C845" s="28" t="s">
        <v>76</v>
      </c>
      <c r="D845" s="28" t="s">
        <v>93</v>
      </c>
      <c r="E845" s="28" t="s">
        <v>425</v>
      </c>
      <c r="F845" s="37">
        <v>2880</v>
      </c>
      <c r="G845" s="37">
        <v>2105.6434599999998</v>
      </c>
      <c r="H845" s="37">
        <v>2880</v>
      </c>
      <c r="I845" s="37">
        <f t="shared" si="318"/>
        <v>100</v>
      </c>
    </row>
    <row r="846" spans="1:9" s="30" customFormat="1" ht="27">
      <c r="A846" s="198" t="s">
        <v>709</v>
      </c>
      <c r="B846" s="132" t="s">
        <v>215</v>
      </c>
      <c r="C846" s="132"/>
      <c r="D846" s="132"/>
      <c r="E846" s="132"/>
      <c r="F846" s="192">
        <f>F847</f>
        <v>8715</v>
      </c>
      <c r="G846" s="192">
        <f t="shared" ref="G846:H847" si="319">G847</f>
        <v>6284.2386200000001</v>
      </c>
      <c r="H846" s="192">
        <f t="shared" si="319"/>
        <v>8715</v>
      </c>
      <c r="I846" s="192">
        <f>H846/F846*100</f>
        <v>100</v>
      </c>
    </row>
    <row r="847" spans="1:9" s="30" customFormat="1">
      <c r="A847" s="51" t="s">
        <v>114</v>
      </c>
      <c r="B847" s="21" t="s">
        <v>328</v>
      </c>
      <c r="C847" s="33" t="s">
        <v>76</v>
      </c>
      <c r="D847" s="33"/>
      <c r="E847" s="33"/>
      <c r="F847" s="83">
        <f>F848</f>
        <v>8715</v>
      </c>
      <c r="G847" s="83">
        <f t="shared" si="319"/>
        <v>6284.2386200000001</v>
      </c>
      <c r="H847" s="83">
        <f t="shared" si="319"/>
        <v>8715</v>
      </c>
      <c r="I847" s="38">
        <f>H847/F847*100</f>
        <v>100</v>
      </c>
    </row>
    <row r="848" spans="1:9" s="30" customFormat="1">
      <c r="A848" s="51" t="s">
        <v>427</v>
      </c>
      <c r="B848" s="21" t="s">
        <v>328</v>
      </c>
      <c r="C848" s="33" t="s">
        <v>76</v>
      </c>
      <c r="D848" s="33" t="s">
        <v>93</v>
      </c>
      <c r="E848" s="33"/>
      <c r="F848" s="83">
        <f>F849+F851+F853</f>
        <v>8715</v>
      </c>
      <c r="G848" s="83">
        <f t="shared" ref="G848:H848" si="320">G849+G851+G853</f>
        <v>6284.2386200000001</v>
      </c>
      <c r="H848" s="83">
        <f t="shared" si="320"/>
        <v>8715</v>
      </c>
      <c r="I848" s="38">
        <f t="shared" ref="I848:I854" si="321">H848/F848*100</f>
        <v>100</v>
      </c>
    </row>
    <row r="849" spans="1:9" s="30" customFormat="1" ht="36">
      <c r="A849" s="53" t="s">
        <v>79</v>
      </c>
      <c r="B849" s="28" t="s">
        <v>328</v>
      </c>
      <c r="C849" s="28" t="s">
        <v>76</v>
      </c>
      <c r="D849" s="28" t="s">
        <v>93</v>
      </c>
      <c r="E849" s="28" t="s">
        <v>80</v>
      </c>
      <c r="F849" s="37">
        <f>F850</f>
        <v>8365</v>
      </c>
      <c r="G849" s="37">
        <f t="shared" ref="G849:H849" si="322">G850</f>
        <v>6137.3373300000003</v>
      </c>
      <c r="H849" s="37">
        <f t="shared" si="322"/>
        <v>8365</v>
      </c>
      <c r="I849" s="37">
        <f t="shared" si="321"/>
        <v>100</v>
      </c>
    </row>
    <row r="850" spans="1:9" s="30" customFormat="1">
      <c r="A850" s="53" t="s">
        <v>486</v>
      </c>
      <c r="B850" s="28" t="s">
        <v>328</v>
      </c>
      <c r="C850" s="28" t="s">
        <v>76</v>
      </c>
      <c r="D850" s="28" t="s">
        <v>93</v>
      </c>
      <c r="E850" s="28" t="s">
        <v>487</v>
      </c>
      <c r="F850" s="37">
        <v>8365</v>
      </c>
      <c r="G850" s="37">
        <v>6137.3373300000003</v>
      </c>
      <c r="H850" s="37">
        <v>8365</v>
      </c>
      <c r="I850" s="37">
        <f t="shared" si="321"/>
        <v>100</v>
      </c>
    </row>
    <row r="851" spans="1:9" s="30" customFormat="1">
      <c r="A851" s="53" t="s">
        <v>301</v>
      </c>
      <c r="B851" s="28" t="s">
        <v>328</v>
      </c>
      <c r="C851" s="28" t="s">
        <v>76</v>
      </c>
      <c r="D851" s="28" t="s">
        <v>93</v>
      </c>
      <c r="E851" s="28" t="s">
        <v>84</v>
      </c>
      <c r="F851" s="88">
        <f>F852</f>
        <v>335</v>
      </c>
      <c r="G851" s="88">
        <f t="shared" ref="G851:H851" si="323">G852</f>
        <v>140.10129000000001</v>
      </c>
      <c r="H851" s="88">
        <f t="shared" si="323"/>
        <v>335</v>
      </c>
      <c r="I851" s="37">
        <f t="shared" si="321"/>
        <v>100</v>
      </c>
    </row>
    <row r="852" spans="1:9" s="30" customFormat="1" ht="24">
      <c r="A852" s="53" t="s">
        <v>85</v>
      </c>
      <c r="B852" s="28" t="s">
        <v>328</v>
      </c>
      <c r="C852" s="28" t="s">
        <v>76</v>
      </c>
      <c r="D852" s="28" t="s">
        <v>93</v>
      </c>
      <c r="E852" s="28" t="s">
        <v>86</v>
      </c>
      <c r="F852" s="88">
        <v>335</v>
      </c>
      <c r="G852" s="88">
        <v>140.10129000000001</v>
      </c>
      <c r="H852" s="88">
        <v>335</v>
      </c>
      <c r="I852" s="37">
        <f t="shared" si="321"/>
        <v>100</v>
      </c>
    </row>
    <row r="853" spans="1:9" s="30" customFormat="1">
      <c r="A853" s="53" t="s">
        <v>87</v>
      </c>
      <c r="B853" s="28" t="s">
        <v>328</v>
      </c>
      <c r="C853" s="28" t="s">
        <v>76</v>
      </c>
      <c r="D853" s="28" t="s">
        <v>93</v>
      </c>
      <c r="E853" s="28" t="s">
        <v>88</v>
      </c>
      <c r="F853" s="88">
        <f>F854</f>
        <v>15</v>
      </c>
      <c r="G853" s="88">
        <f t="shared" ref="G853:H853" si="324">G854</f>
        <v>6.8</v>
      </c>
      <c r="H853" s="88">
        <f t="shared" si="324"/>
        <v>15</v>
      </c>
      <c r="I853" s="37">
        <f t="shared" si="321"/>
        <v>100</v>
      </c>
    </row>
    <row r="854" spans="1:9" s="30" customFormat="1">
      <c r="A854" s="53" t="s">
        <v>514</v>
      </c>
      <c r="B854" s="28" t="s">
        <v>328</v>
      </c>
      <c r="C854" s="28" t="s">
        <v>76</v>
      </c>
      <c r="D854" s="28" t="s">
        <v>93</v>
      </c>
      <c r="E854" s="28" t="s">
        <v>89</v>
      </c>
      <c r="F854" s="88">
        <v>15</v>
      </c>
      <c r="G854" s="88">
        <v>6.8</v>
      </c>
      <c r="H854" s="88">
        <v>15</v>
      </c>
      <c r="I854" s="37">
        <f t="shared" si="321"/>
        <v>100</v>
      </c>
    </row>
    <row r="855" spans="1:9" s="30" customFormat="1" ht="40.5">
      <c r="A855" s="131" t="s">
        <v>130</v>
      </c>
      <c r="B855" s="132" t="s">
        <v>215</v>
      </c>
      <c r="C855" s="132"/>
      <c r="D855" s="132"/>
      <c r="E855" s="132"/>
      <c r="F855" s="192">
        <f>F856</f>
        <v>3000</v>
      </c>
      <c r="G855" s="197">
        <f t="shared" ref="G855:H858" si="325">G856</f>
        <v>0</v>
      </c>
      <c r="H855" s="192">
        <f t="shared" si="325"/>
        <v>3000</v>
      </c>
      <c r="I855" s="192">
        <f>H855/F855*100</f>
        <v>100</v>
      </c>
    </row>
    <row r="856" spans="1:9" s="30" customFormat="1">
      <c r="A856" s="51" t="s">
        <v>114</v>
      </c>
      <c r="B856" s="21" t="s">
        <v>57</v>
      </c>
      <c r="C856" s="21" t="s">
        <v>76</v>
      </c>
      <c r="D856" s="22"/>
      <c r="E856" s="21"/>
      <c r="F856" s="38">
        <f>F857</f>
        <v>3000</v>
      </c>
      <c r="G856" s="87">
        <f t="shared" si="325"/>
        <v>0</v>
      </c>
      <c r="H856" s="38">
        <f t="shared" si="325"/>
        <v>3000</v>
      </c>
      <c r="I856" s="38">
        <f>H856/F856*100</f>
        <v>100</v>
      </c>
    </row>
    <row r="857" spans="1:9" s="30" customFormat="1">
      <c r="A857" s="51" t="s">
        <v>427</v>
      </c>
      <c r="B857" s="21" t="s">
        <v>57</v>
      </c>
      <c r="C857" s="21" t="s">
        <v>76</v>
      </c>
      <c r="D857" s="21" t="s">
        <v>93</v>
      </c>
      <c r="E857" s="21"/>
      <c r="F857" s="38">
        <f>F858</f>
        <v>3000</v>
      </c>
      <c r="G857" s="87">
        <f t="shared" si="325"/>
        <v>0</v>
      </c>
      <c r="H857" s="38">
        <f t="shared" si="325"/>
        <v>3000</v>
      </c>
      <c r="I857" s="38">
        <f t="shared" ref="I857:I859" si="326">H857/F857*100</f>
        <v>100</v>
      </c>
    </row>
    <row r="858" spans="1:9" s="30" customFormat="1">
      <c r="A858" s="53" t="s">
        <v>87</v>
      </c>
      <c r="B858" s="28" t="s">
        <v>57</v>
      </c>
      <c r="C858" s="28" t="s">
        <v>76</v>
      </c>
      <c r="D858" s="28" t="s">
        <v>93</v>
      </c>
      <c r="E858" s="28" t="s">
        <v>88</v>
      </c>
      <c r="F858" s="37">
        <f>F859</f>
        <v>3000</v>
      </c>
      <c r="G858" s="88">
        <f t="shared" si="325"/>
        <v>0</v>
      </c>
      <c r="H858" s="37">
        <f t="shared" si="325"/>
        <v>3000</v>
      </c>
      <c r="I858" s="37">
        <f t="shared" si="326"/>
        <v>100</v>
      </c>
    </row>
    <row r="859" spans="1:9" s="30" customFormat="1">
      <c r="A859" s="53" t="s">
        <v>155</v>
      </c>
      <c r="B859" s="28" t="s">
        <v>57</v>
      </c>
      <c r="C859" s="28" t="s">
        <v>76</v>
      </c>
      <c r="D859" s="28" t="s">
        <v>93</v>
      </c>
      <c r="E859" s="28" t="s">
        <v>89</v>
      </c>
      <c r="F859" s="37">
        <v>3000</v>
      </c>
      <c r="G859" s="88">
        <v>0</v>
      </c>
      <c r="H859" s="37">
        <v>3000</v>
      </c>
      <c r="I859" s="37">
        <f t="shared" si="326"/>
        <v>100</v>
      </c>
    </row>
    <row r="860" spans="1:9" s="30" customFormat="1" ht="13.5">
      <c r="A860" s="131" t="s">
        <v>131</v>
      </c>
      <c r="B860" s="132" t="s">
        <v>215</v>
      </c>
      <c r="C860" s="132"/>
      <c r="D860" s="132"/>
      <c r="E860" s="132"/>
      <c r="F860" s="192">
        <f>F861</f>
        <v>1000</v>
      </c>
      <c r="G860" s="197">
        <f t="shared" ref="G860:H863" si="327">G861</f>
        <v>0</v>
      </c>
      <c r="H860" s="192">
        <f t="shared" si="327"/>
        <v>1000</v>
      </c>
      <c r="I860" s="192">
        <f>H860/F860*100</f>
        <v>100</v>
      </c>
    </row>
    <row r="861" spans="1:9" s="30" customFormat="1">
      <c r="A861" s="51" t="s">
        <v>114</v>
      </c>
      <c r="B861" s="21" t="s">
        <v>132</v>
      </c>
      <c r="C861" s="21" t="s">
        <v>76</v>
      </c>
      <c r="D861" s="22"/>
      <c r="E861" s="21"/>
      <c r="F861" s="38">
        <f>F862</f>
        <v>1000</v>
      </c>
      <c r="G861" s="87">
        <f t="shared" si="327"/>
        <v>0</v>
      </c>
      <c r="H861" s="38">
        <f t="shared" si="327"/>
        <v>1000</v>
      </c>
      <c r="I861" s="38">
        <f>H861/F861*100</f>
        <v>100</v>
      </c>
    </row>
    <row r="862" spans="1:9" s="30" customFormat="1">
      <c r="A862" s="51" t="s">
        <v>427</v>
      </c>
      <c r="B862" s="21" t="s">
        <v>132</v>
      </c>
      <c r="C862" s="21" t="s">
        <v>76</v>
      </c>
      <c r="D862" s="21" t="s">
        <v>93</v>
      </c>
      <c r="E862" s="21"/>
      <c r="F862" s="38">
        <f>F863</f>
        <v>1000</v>
      </c>
      <c r="G862" s="87">
        <f t="shared" si="327"/>
        <v>0</v>
      </c>
      <c r="H862" s="38">
        <f t="shared" si="327"/>
        <v>1000</v>
      </c>
      <c r="I862" s="38">
        <f t="shared" ref="I862:I864" si="328">H862/F862*100</f>
        <v>100</v>
      </c>
    </row>
    <row r="863" spans="1:9" s="30" customFormat="1">
      <c r="A863" s="53" t="s">
        <v>87</v>
      </c>
      <c r="B863" s="28" t="s">
        <v>132</v>
      </c>
      <c r="C863" s="28" t="s">
        <v>76</v>
      </c>
      <c r="D863" s="28" t="s">
        <v>93</v>
      </c>
      <c r="E863" s="28" t="s">
        <v>88</v>
      </c>
      <c r="F863" s="37">
        <f>F864</f>
        <v>1000</v>
      </c>
      <c r="G863" s="88">
        <f t="shared" si="327"/>
        <v>0</v>
      </c>
      <c r="H863" s="37">
        <f t="shared" si="327"/>
        <v>1000</v>
      </c>
      <c r="I863" s="37">
        <f t="shared" si="328"/>
        <v>100</v>
      </c>
    </row>
    <row r="864" spans="1:9" s="30" customFormat="1">
      <c r="A864" s="53" t="s">
        <v>155</v>
      </c>
      <c r="B864" s="28" t="s">
        <v>132</v>
      </c>
      <c r="C864" s="28" t="s">
        <v>76</v>
      </c>
      <c r="D864" s="28" t="s">
        <v>93</v>
      </c>
      <c r="E864" s="28" t="s">
        <v>89</v>
      </c>
      <c r="F864" s="37">
        <v>1000</v>
      </c>
      <c r="G864" s="88">
        <v>0</v>
      </c>
      <c r="H864" s="37">
        <v>1000</v>
      </c>
      <c r="I864" s="37">
        <f t="shared" si="328"/>
        <v>100</v>
      </c>
    </row>
    <row r="865" spans="1:9" s="30" customFormat="1" ht="27">
      <c r="A865" s="131" t="s">
        <v>362</v>
      </c>
      <c r="B865" s="132" t="s">
        <v>215</v>
      </c>
      <c r="C865" s="132"/>
      <c r="D865" s="132"/>
      <c r="E865" s="132"/>
      <c r="F865" s="192">
        <f>F866</f>
        <v>1000</v>
      </c>
      <c r="G865" s="197">
        <f t="shared" ref="G865:H868" si="329">G866</f>
        <v>0</v>
      </c>
      <c r="H865" s="197">
        <f t="shared" si="329"/>
        <v>0</v>
      </c>
      <c r="I865" s="197">
        <f>H865/F865*100</f>
        <v>0</v>
      </c>
    </row>
    <row r="866" spans="1:9" s="30" customFormat="1" ht="24">
      <c r="A866" s="51" t="s">
        <v>320</v>
      </c>
      <c r="B866" s="21" t="s">
        <v>563</v>
      </c>
      <c r="C866" s="21" t="s">
        <v>483</v>
      </c>
      <c r="D866" s="21"/>
      <c r="E866" s="21"/>
      <c r="F866" s="38">
        <f>F867</f>
        <v>1000</v>
      </c>
      <c r="G866" s="87">
        <f t="shared" si="329"/>
        <v>0</v>
      </c>
      <c r="H866" s="87">
        <f t="shared" si="329"/>
        <v>0</v>
      </c>
      <c r="I866" s="87">
        <f>H866/F866*100</f>
        <v>0</v>
      </c>
    </row>
    <row r="867" spans="1:9" s="30" customFormat="1" ht="24">
      <c r="A867" s="69" t="s">
        <v>127</v>
      </c>
      <c r="B867" s="21" t="s">
        <v>563</v>
      </c>
      <c r="C867" s="21" t="s">
        <v>483</v>
      </c>
      <c r="D867" s="21" t="s">
        <v>484</v>
      </c>
      <c r="E867" s="21"/>
      <c r="F867" s="38">
        <f>F868</f>
        <v>1000</v>
      </c>
      <c r="G867" s="87">
        <f t="shared" si="329"/>
        <v>0</v>
      </c>
      <c r="H867" s="87">
        <f t="shared" si="329"/>
        <v>0</v>
      </c>
      <c r="I867" s="87">
        <f t="shared" ref="I867:I869" si="330">H867/F867*100</f>
        <v>0</v>
      </c>
    </row>
    <row r="868" spans="1:9" s="30" customFormat="1">
      <c r="A868" s="72" t="s">
        <v>301</v>
      </c>
      <c r="B868" s="28" t="s">
        <v>563</v>
      </c>
      <c r="C868" s="28" t="s">
        <v>483</v>
      </c>
      <c r="D868" s="28" t="s">
        <v>484</v>
      </c>
      <c r="E868" s="28" t="s">
        <v>84</v>
      </c>
      <c r="F868" s="37">
        <f>F869</f>
        <v>1000</v>
      </c>
      <c r="G868" s="88">
        <f t="shared" si="329"/>
        <v>0</v>
      </c>
      <c r="H868" s="88">
        <f t="shared" si="329"/>
        <v>0</v>
      </c>
      <c r="I868" s="88">
        <f t="shared" si="330"/>
        <v>0</v>
      </c>
    </row>
    <row r="869" spans="1:9" s="30" customFormat="1" ht="24">
      <c r="A869" s="72" t="s">
        <v>85</v>
      </c>
      <c r="B869" s="28" t="s">
        <v>563</v>
      </c>
      <c r="C869" s="28" t="s">
        <v>483</v>
      </c>
      <c r="D869" s="28" t="s">
        <v>484</v>
      </c>
      <c r="E869" s="28" t="s">
        <v>86</v>
      </c>
      <c r="F869" s="37">
        <v>1000</v>
      </c>
      <c r="G869" s="88">
        <v>0</v>
      </c>
      <c r="H869" s="88">
        <v>0</v>
      </c>
      <c r="I869" s="88">
        <f t="shared" si="330"/>
        <v>0</v>
      </c>
    </row>
    <row r="870" spans="1:9" s="30" customFormat="1" ht="13.5">
      <c r="A870" s="198" t="s">
        <v>42</v>
      </c>
      <c r="B870" s="132" t="s">
        <v>215</v>
      </c>
      <c r="C870" s="132"/>
      <c r="D870" s="132"/>
      <c r="E870" s="132"/>
      <c r="F870" s="192">
        <f>F871</f>
        <v>4000</v>
      </c>
      <c r="G870" s="192">
        <f t="shared" ref="G870:H871" si="331">G871</f>
        <v>3096.8527399999998</v>
      </c>
      <c r="H870" s="192">
        <f t="shared" si="331"/>
        <v>4000</v>
      </c>
      <c r="I870" s="192">
        <f>H870/F870*100</f>
        <v>100</v>
      </c>
    </row>
    <row r="871" spans="1:9" s="30" customFormat="1" ht="24">
      <c r="A871" s="51" t="s">
        <v>320</v>
      </c>
      <c r="B871" s="21" t="s">
        <v>564</v>
      </c>
      <c r="C871" s="21" t="s">
        <v>483</v>
      </c>
      <c r="D871" s="28"/>
      <c r="E871" s="28"/>
      <c r="F871" s="38">
        <f>F872</f>
        <v>4000</v>
      </c>
      <c r="G871" s="38">
        <f t="shared" si="331"/>
        <v>3096.8527399999998</v>
      </c>
      <c r="H871" s="38">
        <f t="shared" si="331"/>
        <v>4000</v>
      </c>
      <c r="I871" s="38">
        <f>H871/F871*100</f>
        <v>100</v>
      </c>
    </row>
    <row r="872" spans="1:9" s="30" customFormat="1" ht="24">
      <c r="A872" s="51" t="s">
        <v>485</v>
      </c>
      <c r="B872" s="21" t="s">
        <v>564</v>
      </c>
      <c r="C872" s="21" t="s">
        <v>483</v>
      </c>
      <c r="D872" s="21" t="s">
        <v>484</v>
      </c>
      <c r="E872" s="21"/>
      <c r="F872" s="38">
        <f>F873+F875+F877</f>
        <v>4000</v>
      </c>
      <c r="G872" s="38">
        <f t="shared" ref="G872:H872" si="332">G873+G875+G877</f>
        <v>3096.8527399999998</v>
      </c>
      <c r="H872" s="38">
        <f t="shared" si="332"/>
        <v>4000</v>
      </c>
      <c r="I872" s="38">
        <f t="shared" ref="I872:I878" si="333">H872/F872*100</f>
        <v>100</v>
      </c>
    </row>
    <row r="873" spans="1:9" s="30" customFormat="1" ht="36">
      <c r="A873" s="53" t="s">
        <v>79</v>
      </c>
      <c r="B873" s="28" t="s">
        <v>564</v>
      </c>
      <c r="C873" s="28" t="s">
        <v>483</v>
      </c>
      <c r="D873" s="28" t="s">
        <v>484</v>
      </c>
      <c r="E873" s="28" t="s">
        <v>80</v>
      </c>
      <c r="F873" s="37">
        <f>F874</f>
        <v>3514</v>
      </c>
      <c r="G873" s="37">
        <f t="shared" ref="G873:H873" si="334">G874</f>
        <v>2918.1508699999999</v>
      </c>
      <c r="H873" s="37">
        <f t="shared" si="334"/>
        <v>3514</v>
      </c>
      <c r="I873" s="37">
        <f t="shared" si="333"/>
        <v>100</v>
      </c>
    </row>
    <row r="874" spans="1:9" s="30" customFormat="1">
      <c r="A874" s="53" t="s">
        <v>486</v>
      </c>
      <c r="B874" s="28" t="s">
        <v>564</v>
      </c>
      <c r="C874" s="28" t="s">
        <v>483</v>
      </c>
      <c r="D874" s="28" t="s">
        <v>484</v>
      </c>
      <c r="E874" s="28" t="s">
        <v>487</v>
      </c>
      <c r="F874" s="37">
        <v>3514</v>
      </c>
      <c r="G874" s="37">
        <v>2918.1508699999999</v>
      </c>
      <c r="H874" s="37">
        <v>3514</v>
      </c>
      <c r="I874" s="37">
        <f t="shared" si="333"/>
        <v>100</v>
      </c>
    </row>
    <row r="875" spans="1:9" s="30" customFormat="1">
      <c r="A875" s="53" t="s">
        <v>301</v>
      </c>
      <c r="B875" s="28" t="s">
        <v>564</v>
      </c>
      <c r="C875" s="28" t="s">
        <v>483</v>
      </c>
      <c r="D875" s="28" t="s">
        <v>484</v>
      </c>
      <c r="E875" s="28" t="s">
        <v>84</v>
      </c>
      <c r="F875" s="37">
        <f>F876</f>
        <v>475</v>
      </c>
      <c r="G875" s="37">
        <f t="shared" ref="G875:H875" si="335">G876</f>
        <v>178.70187000000001</v>
      </c>
      <c r="H875" s="37">
        <f t="shared" si="335"/>
        <v>475</v>
      </c>
      <c r="I875" s="37">
        <f t="shared" si="333"/>
        <v>100</v>
      </c>
    </row>
    <row r="876" spans="1:9" s="30" customFormat="1" ht="24">
      <c r="A876" s="53" t="s">
        <v>85</v>
      </c>
      <c r="B876" s="28" t="s">
        <v>564</v>
      </c>
      <c r="C876" s="28" t="s">
        <v>483</v>
      </c>
      <c r="D876" s="28" t="s">
        <v>484</v>
      </c>
      <c r="E876" s="28" t="s">
        <v>86</v>
      </c>
      <c r="F876" s="37">
        <v>475</v>
      </c>
      <c r="G876" s="37">
        <v>178.70187000000001</v>
      </c>
      <c r="H876" s="37">
        <v>475</v>
      </c>
      <c r="I876" s="37">
        <f t="shared" si="333"/>
        <v>100</v>
      </c>
    </row>
    <row r="877" spans="1:9" s="30" customFormat="1">
      <c r="A877" s="53" t="s">
        <v>87</v>
      </c>
      <c r="B877" s="28" t="s">
        <v>564</v>
      </c>
      <c r="C877" s="28" t="s">
        <v>483</v>
      </c>
      <c r="D877" s="28" t="s">
        <v>484</v>
      </c>
      <c r="E877" s="28" t="s">
        <v>88</v>
      </c>
      <c r="F877" s="37">
        <f>F878</f>
        <v>11</v>
      </c>
      <c r="G877" s="88">
        <f t="shared" ref="G877:H877" si="336">G878</f>
        <v>0</v>
      </c>
      <c r="H877" s="37">
        <f t="shared" si="336"/>
        <v>11</v>
      </c>
      <c r="I877" s="37">
        <f t="shared" si="333"/>
        <v>100</v>
      </c>
    </row>
    <row r="878" spans="1:9" s="30" customFormat="1">
      <c r="A878" s="53" t="s">
        <v>155</v>
      </c>
      <c r="B878" s="28" t="s">
        <v>564</v>
      </c>
      <c r="C878" s="28" t="s">
        <v>483</v>
      </c>
      <c r="D878" s="28" t="s">
        <v>484</v>
      </c>
      <c r="E878" s="28" t="s">
        <v>89</v>
      </c>
      <c r="F878" s="37">
        <v>11</v>
      </c>
      <c r="G878" s="88">
        <v>0</v>
      </c>
      <c r="H878" s="37">
        <v>11</v>
      </c>
      <c r="I878" s="37">
        <f t="shared" si="333"/>
        <v>100</v>
      </c>
    </row>
    <row r="879" spans="1:9" s="30" customFormat="1" ht="27">
      <c r="A879" s="131" t="s">
        <v>498</v>
      </c>
      <c r="B879" s="132" t="s">
        <v>215</v>
      </c>
      <c r="C879" s="132"/>
      <c r="D879" s="132"/>
      <c r="E879" s="132"/>
      <c r="F879" s="192">
        <f>F880</f>
        <v>5000</v>
      </c>
      <c r="G879" s="192">
        <f t="shared" ref="G879:H882" si="337">G880</f>
        <v>1249.9974999999999</v>
      </c>
      <c r="H879" s="192">
        <f t="shared" si="337"/>
        <v>5000</v>
      </c>
      <c r="I879" s="192">
        <f>H879/F879*100</f>
        <v>100</v>
      </c>
    </row>
    <row r="880" spans="1:9" s="30" customFormat="1" ht="13.5">
      <c r="A880" s="51" t="s">
        <v>363</v>
      </c>
      <c r="B880" s="21" t="s">
        <v>574</v>
      </c>
      <c r="C880" s="21" t="s">
        <v>78</v>
      </c>
      <c r="D880" s="47"/>
      <c r="E880" s="21"/>
      <c r="F880" s="38">
        <f>F881</f>
        <v>5000</v>
      </c>
      <c r="G880" s="38">
        <f t="shared" si="337"/>
        <v>1249.9974999999999</v>
      </c>
      <c r="H880" s="38">
        <f t="shared" si="337"/>
        <v>5000</v>
      </c>
      <c r="I880" s="38">
        <f>H880/F880*100</f>
        <v>100</v>
      </c>
    </row>
    <row r="881" spans="1:9" s="30" customFormat="1">
      <c r="A881" s="51" t="s">
        <v>405</v>
      </c>
      <c r="B881" s="21" t="s">
        <v>574</v>
      </c>
      <c r="C881" s="21" t="s">
        <v>78</v>
      </c>
      <c r="D881" s="21" t="s">
        <v>489</v>
      </c>
      <c r="E881" s="21"/>
      <c r="F881" s="38">
        <f>F882</f>
        <v>5000</v>
      </c>
      <c r="G881" s="38">
        <f t="shared" si="337"/>
        <v>1249.9974999999999</v>
      </c>
      <c r="H881" s="38">
        <f t="shared" si="337"/>
        <v>5000</v>
      </c>
      <c r="I881" s="38">
        <f t="shared" ref="I881:I883" si="338">H881/F881*100</f>
        <v>100</v>
      </c>
    </row>
    <row r="882" spans="1:9" s="30" customFormat="1">
      <c r="A882" s="72" t="s">
        <v>301</v>
      </c>
      <c r="B882" s="28" t="s">
        <v>574</v>
      </c>
      <c r="C882" s="28" t="s">
        <v>78</v>
      </c>
      <c r="D882" s="28" t="s">
        <v>489</v>
      </c>
      <c r="E882" s="29">
        <v>200</v>
      </c>
      <c r="F882" s="37">
        <f>F883</f>
        <v>5000</v>
      </c>
      <c r="G882" s="37">
        <f t="shared" si="337"/>
        <v>1249.9974999999999</v>
      </c>
      <c r="H882" s="37">
        <f t="shared" si="337"/>
        <v>5000</v>
      </c>
      <c r="I882" s="37">
        <f t="shared" si="338"/>
        <v>100</v>
      </c>
    </row>
    <row r="883" spans="1:9" s="30" customFormat="1" ht="24">
      <c r="A883" s="72" t="s">
        <v>85</v>
      </c>
      <c r="B883" s="28" t="s">
        <v>574</v>
      </c>
      <c r="C883" s="28" t="s">
        <v>78</v>
      </c>
      <c r="D883" s="28" t="s">
        <v>489</v>
      </c>
      <c r="E883" s="28" t="s">
        <v>86</v>
      </c>
      <c r="F883" s="37">
        <f>1000+4000</f>
        <v>5000</v>
      </c>
      <c r="G883" s="37">
        <v>1249.9974999999999</v>
      </c>
      <c r="H883" s="37">
        <f>1000+4000</f>
        <v>5000</v>
      </c>
      <c r="I883" s="37">
        <f t="shared" si="338"/>
        <v>100</v>
      </c>
    </row>
    <row r="884" spans="1:9" s="30" customFormat="1" ht="40.5">
      <c r="A884" s="198" t="s">
        <v>401</v>
      </c>
      <c r="B884" s="132" t="s">
        <v>215</v>
      </c>
      <c r="C884" s="132"/>
      <c r="D884" s="132"/>
      <c r="E884" s="132"/>
      <c r="F884" s="192">
        <f>F885</f>
        <v>17150</v>
      </c>
      <c r="G884" s="192">
        <f t="shared" ref="G884:H887" si="339">G885</f>
        <v>12853.00036</v>
      </c>
      <c r="H884" s="192">
        <f t="shared" si="339"/>
        <v>17150</v>
      </c>
      <c r="I884" s="192">
        <f>H884/F884*100</f>
        <v>100</v>
      </c>
    </row>
    <row r="885" spans="1:9" s="30" customFormat="1">
      <c r="A885" s="51" t="s">
        <v>406</v>
      </c>
      <c r="B885" s="21" t="s">
        <v>499</v>
      </c>
      <c r="C885" s="21" t="s">
        <v>515</v>
      </c>
      <c r="D885" s="21"/>
      <c r="E885" s="21"/>
      <c r="F885" s="38">
        <f>F886</f>
        <v>17150</v>
      </c>
      <c r="G885" s="38">
        <f t="shared" si="339"/>
        <v>12853.00036</v>
      </c>
      <c r="H885" s="38">
        <f t="shared" si="339"/>
        <v>17150</v>
      </c>
      <c r="I885" s="38">
        <f>H885/F885*100</f>
        <v>100</v>
      </c>
    </row>
    <row r="886" spans="1:9" s="30" customFormat="1">
      <c r="A886" s="51" t="s">
        <v>389</v>
      </c>
      <c r="B886" s="21" t="s">
        <v>499</v>
      </c>
      <c r="C886" s="21" t="s">
        <v>515</v>
      </c>
      <c r="D886" s="21" t="s">
        <v>76</v>
      </c>
      <c r="E886" s="21"/>
      <c r="F886" s="38">
        <f>F887</f>
        <v>17150</v>
      </c>
      <c r="G886" s="38">
        <f t="shared" si="339"/>
        <v>12853.00036</v>
      </c>
      <c r="H886" s="38">
        <f t="shared" si="339"/>
        <v>17150</v>
      </c>
      <c r="I886" s="38">
        <f t="shared" ref="I886:I888" si="340">H886/F886*100</f>
        <v>100</v>
      </c>
    </row>
    <row r="887" spans="1:9" s="30" customFormat="1">
      <c r="A887" s="53" t="s">
        <v>95</v>
      </c>
      <c r="B887" s="28" t="s">
        <v>499</v>
      </c>
      <c r="C887" s="28" t="s">
        <v>515</v>
      </c>
      <c r="D887" s="28" t="s">
        <v>76</v>
      </c>
      <c r="E887" s="28" t="s">
        <v>94</v>
      </c>
      <c r="F887" s="37">
        <f>F888</f>
        <v>17150</v>
      </c>
      <c r="G887" s="37">
        <f t="shared" si="339"/>
        <v>12853.00036</v>
      </c>
      <c r="H887" s="37">
        <f t="shared" si="339"/>
        <v>17150</v>
      </c>
      <c r="I887" s="37">
        <f t="shared" si="340"/>
        <v>100</v>
      </c>
    </row>
    <row r="888" spans="1:9" s="30" customFormat="1">
      <c r="A888" s="53" t="s">
        <v>157</v>
      </c>
      <c r="B888" s="28" t="s">
        <v>499</v>
      </c>
      <c r="C888" s="28" t="s">
        <v>515</v>
      </c>
      <c r="D888" s="28" t="s">
        <v>76</v>
      </c>
      <c r="E888" s="28" t="s">
        <v>518</v>
      </c>
      <c r="F888" s="37">
        <v>17150</v>
      </c>
      <c r="G888" s="37">
        <v>12853.00036</v>
      </c>
      <c r="H888" s="37">
        <v>17150</v>
      </c>
      <c r="I888" s="37">
        <f t="shared" si="340"/>
        <v>100</v>
      </c>
    </row>
    <row r="889" spans="1:9" s="30" customFormat="1" ht="27">
      <c r="A889" s="198" t="s">
        <v>575</v>
      </c>
      <c r="B889" s="132" t="s">
        <v>215</v>
      </c>
      <c r="C889" s="132"/>
      <c r="D889" s="132"/>
      <c r="E889" s="132"/>
      <c r="F889" s="192">
        <f>F890</f>
        <v>20000</v>
      </c>
      <c r="G889" s="197">
        <f t="shared" ref="G889:H892" si="341">G890</f>
        <v>0</v>
      </c>
      <c r="H889" s="192">
        <f t="shared" si="341"/>
        <v>20000</v>
      </c>
      <c r="I889" s="192">
        <f>H889/F889*100</f>
        <v>100</v>
      </c>
    </row>
    <row r="890" spans="1:9" s="30" customFormat="1">
      <c r="A890" s="51" t="s">
        <v>406</v>
      </c>
      <c r="B890" s="111" t="s">
        <v>500</v>
      </c>
      <c r="C890" s="21" t="s">
        <v>515</v>
      </c>
      <c r="D890" s="21"/>
      <c r="E890" s="21"/>
      <c r="F890" s="38">
        <f>F891</f>
        <v>20000</v>
      </c>
      <c r="G890" s="87">
        <f t="shared" si="341"/>
        <v>0</v>
      </c>
      <c r="H890" s="38">
        <f t="shared" si="341"/>
        <v>20000</v>
      </c>
      <c r="I890" s="38">
        <f>H890/F890*100</f>
        <v>100</v>
      </c>
    </row>
    <row r="891" spans="1:9" s="30" customFormat="1">
      <c r="A891" s="51" t="s">
        <v>394</v>
      </c>
      <c r="B891" s="111" t="s">
        <v>500</v>
      </c>
      <c r="C891" s="21" t="s">
        <v>515</v>
      </c>
      <c r="D891" s="21" t="s">
        <v>483</v>
      </c>
      <c r="E891" s="21"/>
      <c r="F891" s="38">
        <f>F892</f>
        <v>20000</v>
      </c>
      <c r="G891" s="87">
        <f t="shared" si="341"/>
        <v>0</v>
      </c>
      <c r="H891" s="38">
        <f t="shared" si="341"/>
        <v>20000</v>
      </c>
      <c r="I891" s="38">
        <f t="shared" ref="I891:I893" si="342">H891/F891*100</f>
        <v>100</v>
      </c>
    </row>
    <row r="892" spans="1:9" s="30" customFormat="1">
      <c r="A892" s="119" t="s">
        <v>95</v>
      </c>
      <c r="B892" s="120" t="s">
        <v>500</v>
      </c>
      <c r="C892" s="120" t="s">
        <v>515</v>
      </c>
      <c r="D892" s="120" t="s">
        <v>483</v>
      </c>
      <c r="E892" s="120" t="s">
        <v>94</v>
      </c>
      <c r="F892" s="121">
        <f>F893</f>
        <v>20000</v>
      </c>
      <c r="G892" s="135">
        <f t="shared" si="341"/>
        <v>0</v>
      </c>
      <c r="H892" s="121">
        <f t="shared" si="341"/>
        <v>20000</v>
      </c>
      <c r="I892" s="37">
        <f t="shared" si="342"/>
        <v>100</v>
      </c>
    </row>
    <row r="893" spans="1:9" s="30" customFormat="1" ht="24">
      <c r="A893" s="119" t="s">
        <v>96</v>
      </c>
      <c r="B893" s="120" t="s">
        <v>500</v>
      </c>
      <c r="C893" s="120" t="s">
        <v>515</v>
      </c>
      <c r="D893" s="120" t="s">
        <v>483</v>
      </c>
      <c r="E893" s="120" t="s">
        <v>97</v>
      </c>
      <c r="F893" s="121">
        <v>20000</v>
      </c>
      <c r="G893" s="135">
        <v>0</v>
      </c>
      <c r="H893" s="121">
        <v>20000</v>
      </c>
      <c r="I893" s="37">
        <f t="shared" si="342"/>
        <v>100</v>
      </c>
    </row>
    <row r="894" spans="1:9" s="30" customFormat="1" ht="13.5">
      <c r="A894" s="198" t="s">
        <v>319</v>
      </c>
      <c r="B894" s="132" t="s">
        <v>215</v>
      </c>
      <c r="C894" s="132"/>
      <c r="D894" s="132"/>
      <c r="E894" s="132"/>
      <c r="F894" s="192">
        <f>F895</f>
        <v>5313.3230000000003</v>
      </c>
      <c r="G894" s="192">
        <f t="shared" ref="G894:H896" si="343">G895</f>
        <v>2729.0568400000002</v>
      </c>
      <c r="H894" s="192">
        <f t="shared" si="343"/>
        <v>3987.223</v>
      </c>
      <c r="I894" s="192">
        <f>H894/F894*100</f>
        <v>75.041984084159751</v>
      </c>
    </row>
    <row r="895" spans="1:9" s="30" customFormat="1">
      <c r="A895" s="51" t="s">
        <v>114</v>
      </c>
      <c r="B895" s="21" t="s">
        <v>344</v>
      </c>
      <c r="C895" s="21" t="s">
        <v>76</v>
      </c>
      <c r="D895" s="22"/>
      <c r="E895" s="28"/>
      <c r="F895" s="38">
        <f>F896</f>
        <v>5313.3230000000003</v>
      </c>
      <c r="G895" s="38">
        <f t="shared" si="343"/>
        <v>2729.0568400000002</v>
      </c>
      <c r="H895" s="38">
        <f t="shared" si="343"/>
        <v>3987.223</v>
      </c>
      <c r="I895" s="38">
        <f>H895/F895*100</f>
        <v>75.041984084159751</v>
      </c>
    </row>
    <row r="896" spans="1:9" s="30" customFormat="1">
      <c r="A896" s="51" t="s">
        <v>427</v>
      </c>
      <c r="B896" s="21" t="s">
        <v>344</v>
      </c>
      <c r="C896" s="21" t="s">
        <v>76</v>
      </c>
      <c r="D896" s="21" t="s">
        <v>93</v>
      </c>
      <c r="E896" s="21"/>
      <c r="F896" s="38">
        <f>F897</f>
        <v>5313.3230000000003</v>
      </c>
      <c r="G896" s="38">
        <f t="shared" si="343"/>
        <v>2729.0568400000002</v>
      </c>
      <c r="H896" s="38">
        <f t="shared" si="343"/>
        <v>3987.223</v>
      </c>
      <c r="I896" s="38">
        <f t="shared" ref="I896:I899" si="344">H896/F896*100</f>
        <v>75.041984084159751</v>
      </c>
    </row>
    <row r="897" spans="1:9" s="30" customFormat="1">
      <c r="A897" s="53" t="s">
        <v>87</v>
      </c>
      <c r="B897" s="28" t="s">
        <v>344</v>
      </c>
      <c r="C897" s="28" t="s">
        <v>76</v>
      </c>
      <c r="D897" s="28" t="s">
        <v>93</v>
      </c>
      <c r="E897" s="28" t="s">
        <v>88</v>
      </c>
      <c r="F897" s="37">
        <f>F898+F899</f>
        <v>5313.3230000000003</v>
      </c>
      <c r="G897" s="37">
        <f t="shared" ref="G897:H897" si="345">G898+G899</f>
        <v>2729.0568400000002</v>
      </c>
      <c r="H897" s="37">
        <f t="shared" si="345"/>
        <v>3987.223</v>
      </c>
      <c r="I897" s="37">
        <f t="shared" si="344"/>
        <v>75.041984084159751</v>
      </c>
    </row>
    <row r="898" spans="1:9" s="30" customFormat="1">
      <c r="A898" s="53" t="s">
        <v>150</v>
      </c>
      <c r="B898" s="28" t="s">
        <v>344</v>
      </c>
      <c r="C898" s="28" t="s">
        <v>76</v>
      </c>
      <c r="D898" s="28" t="s">
        <v>93</v>
      </c>
      <c r="E898" s="28" t="s">
        <v>154</v>
      </c>
      <c r="F898" s="37">
        <f>3900-500+8.323+1800+5</f>
        <v>5213.3230000000003</v>
      </c>
      <c r="G898" s="37">
        <v>2729.0568400000002</v>
      </c>
      <c r="H898" s="37">
        <f>3900-500+8.323+1800+5-326.1-1000</f>
        <v>3887.223</v>
      </c>
      <c r="I898" s="37">
        <f t="shared" si="344"/>
        <v>74.563248814623606</v>
      </c>
    </row>
    <row r="899" spans="1:9" s="30" customFormat="1">
      <c r="A899" s="53" t="s">
        <v>155</v>
      </c>
      <c r="B899" s="28" t="s">
        <v>344</v>
      </c>
      <c r="C899" s="28" t="s">
        <v>76</v>
      </c>
      <c r="D899" s="28" t="s">
        <v>93</v>
      </c>
      <c r="E899" s="28" t="s">
        <v>89</v>
      </c>
      <c r="F899" s="37">
        <v>100</v>
      </c>
      <c r="G899" s="88">
        <v>0</v>
      </c>
      <c r="H899" s="37">
        <v>100</v>
      </c>
      <c r="I899" s="37">
        <f t="shared" si="344"/>
        <v>100</v>
      </c>
    </row>
    <row r="900" spans="1:9" s="30" customFormat="1" ht="13.5">
      <c r="A900" s="198" t="s">
        <v>46</v>
      </c>
      <c r="B900" s="132" t="s">
        <v>215</v>
      </c>
      <c r="C900" s="132"/>
      <c r="D900" s="132"/>
      <c r="E900" s="132"/>
      <c r="F900" s="192">
        <f>F901</f>
        <v>2320</v>
      </c>
      <c r="G900" s="192">
        <f t="shared" ref="G900:H901" si="346">G901</f>
        <v>2205.3089999999997</v>
      </c>
      <c r="H900" s="192">
        <f t="shared" si="346"/>
        <v>2318.2570000000001</v>
      </c>
      <c r="I900" s="192">
        <f>H900/F900*100</f>
        <v>99.924870689655179</v>
      </c>
    </row>
    <row r="901" spans="1:9" s="30" customFormat="1">
      <c r="A901" s="51" t="s">
        <v>399</v>
      </c>
      <c r="B901" s="21" t="s">
        <v>345</v>
      </c>
      <c r="C901" s="21" t="s">
        <v>489</v>
      </c>
      <c r="D901" s="21"/>
      <c r="E901" s="21"/>
      <c r="F901" s="38">
        <f>F902</f>
        <v>2320</v>
      </c>
      <c r="G901" s="38">
        <f t="shared" si="346"/>
        <v>2205.3089999999997</v>
      </c>
      <c r="H901" s="38">
        <f t="shared" si="346"/>
        <v>2318.2570000000001</v>
      </c>
      <c r="I901" s="38">
        <f>H901/F901*100</f>
        <v>99.924870689655179</v>
      </c>
    </row>
    <row r="902" spans="1:9" s="30" customFormat="1">
      <c r="A902" s="51" t="s">
        <v>387</v>
      </c>
      <c r="B902" s="21" t="s">
        <v>345</v>
      </c>
      <c r="C902" s="21" t="s">
        <v>489</v>
      </c>
      <c r="D902" s="21" t="s">
        <v>76</v>
      </c>
      <c r="E902" s="21"/>
      <c r="F902" s="38">
        <f>F903+F905+F907+F909</f>
        <v>2320</v>
      </c>
      <c r="G902" s="38">
        <f t="shared" ref="G902:H902" si="347">G903+G905+G907+G909</f>
        <v>2205.3089999999997</v>
      </c>
      <c r="H902" s="38">
        <f t="shared" si="347"/>
        <v>2318.2570000000001</v>
      </c>
      <c r="I902" s="38">
        <f t="shared" ref="I902:I910" si="348">H902/F902*100</f>
        <v>99.924870689655179</v>
      </c>
    </row>
    <row r="903" spans="1:9" s="30" customFormat="1" ht="36">
      <c r="A903" s="53" t="s">
        <v>79</v>
      </c>
      <c r="B903" s="28" t="s">
        <v>345</v>
      </c>
      <c r="C903" s="28" t="s">
        <v>489</v>
      </c>
      <c r="D903" s="28" t="s">
        <v>76</v>
      </c>
      <c r="E903" s="28" t="s">
        <v>80</v>
      </c>
      <c r="F903" s="37">
        <f>F904</f>
        <v>2266.4470000000001</v>
      </c>
      <c r="G903" s="37">
        <f t="shared" ref="G903:H903" si="349">G904</f>
        <v>2162.808</v>
      </c>
      <c r="H903" s="37">
        <f t="shared" si="349"/>
        <v>2266.4</v>
      </c>
      <c r="I903" s="37">
        <f t="shared" si="348"/>
        <v>99.99792626961937</v>
      </c>
    </row>
    <row r="904" spans="1:9" s="30" customFormat="1">
      <c r="A904" s="53" t="s">
        <v>486</v>
      </c>
      <c r="B904" s="28" t="s">
        <v>345</v>
      </c>
      <c r="C904" s="28" t="s">
        <v>489</v>
      </c>
      <c r="D904" s="28" t="s">
        <v>76</v>
      </c>
      <c r="E904" s="28" t="s">
        <v>487</v>
      </c>
      <c r="F904" s="121">
        <f>2420+730+12+102-71.314+28.421-954.66</f>
        <v>2266.4470000000001</v>
      </c>
      <c r="G904" s="121">
        <v>2162.808</v>
      </c>
      <c r="H904" s="121">
        <v>2266.4</v>
      </c>
      <c r="I904" s="37">
        <f t="shared" si="348"/>
        <v>99.99792626961937</v>
      </c>
    </row>
    <row r="905" spans="1:9" s="30" customFormat="1">
      <c r="A905" s="53" t="s">
        <v>301</v>
      </c>
      <c r="B905" s="28" t="s">
        <v>345</v>
      </c>
      <c r="C905" s="28" t="s">
        <v>489</v>
      </c>
      <c r="D905" s="28" t="s">
        <v>76</v>
      </c>
      <c r="E905" s="28" t="s">
        <v>84</v>
      </c>
      <c r="F905" s="37">
        <f>F906</f>
        <v>4.6599999999999966</v>
      </c>
      <c r="G905" s="37">
        <f t="shared" ref="G905:H905" si="350">G906</f>
        <v>2.964</v>
      </c>
      <c r="H905" s="37">
        <f t="shared" si="350"/>
        <v>2.964</v>
      </c>
      <c r="I905" s="37">
        <f t="shared" si="348"/>
        <v>63.605150214592321</v>
      </c>
    </row>
    <row r="906" spans="1:9" s="30" customFormat="1" ht="24">
      <c r="A906" s="53" t="s">
        <v>85</v>
      </c>
      <c r="B906" s="28" t="s">
        <v>345</v>
      </c>
      <c r="C906" s="28" t="s">
        <v>489</v>
      </c>
      <c r="D906" s="28" t="s">
        <v>76</v>
      </c>
      <c r="E906" s="28" t="s">
        <v>86</v>
      </c>
      <c r="F906" s="37">
        <f>50-45.34</f>
        <v>4.6599999999999966</v>
      </c>
      <c r="G906" s="37">
        <v>2.964</v>
      </c>
      <c r="H906" s="37">
        <v>2.964</v>
      </c>
      <c r="I906" s="37">
        <f t="shared" si="348"/>
        <v>63.605150214592321</v>
      </c>
    </row>
    <row r="907" spans="1:9" s="30" customFormat="1">
      <c r="A907" s="223" t="s">
        <v>95</v>
      </c>
      <c r="B907" s="28" t="s">
        <v>345</v>
      </c>
      <c r="C907" s="28" t="s">
        <v>489</v>
      </c>
      <c r="D907" s="28" t="s">
        <v>76</v>
      </c>
      <c r="E907" s="28" t="s">
        <v>94</v>
      </c>
      <c r="F907" s="37">
        <f>F908</f>
        <v>39.536999999999999</v>
      </c>
      <c r="G907" s="37">
        <f t="shared" ref="G907:H907" si="351">G908</f>
        <v>39.536999999999999</v>
      </c>
      <c r="H907" s="37">
        <f t="shared" si="351"/>
        <v>39.536999999999999</v>
      </c>
      <c r="I907" s="37">
        <f t="shared" si="348"/>
        <v>100</v>
      </c>
    </row>
    <row r="908" spans="1:9" s="30" customFormat="1" ht="24">
      <c r="A908" s="223" t="s">
        <v>96</v>
      </c>
      <c r="B908" s="28" t="s">
        <v>345</v>
      </c>
      <c r="C908" s="28" t="s">
        <v>489</v>
      </c>
      <c r="D908" s="28" t="s">
        <v>76</v>
      </c>
      <c r="E908" s="28" t="s">
        <v>97</v>
      </c>
      <c r="F908" s="37">
        <v>39.536999999999999</v>
      </c>
      <c r="G908" s="37">
        <v>39.536999999999999</v>
      </c>
      <c r="H908" s="37">
        <v>39.536999999999999</v>
      </c>
      <c r="I908" s="37">
        <f t="shared" si="348"/>
        <v>100</v>
      </c>
    </row>
    <row r="909" spans="1:9" s="30" customFormat="1">
      <c r="A909" s="53" t="s">
        <v>87</v>
      </c>
      <c r="B909" s="28" t="s">
        <v>345</v>
      </c>
      <c r="C909" s="28" t="s">
        <v>489</v>
      </c>
      <c r="D909" s="28" t="s">
        <v>76</v>
      </c>
      <c r="E909" s="28" t="s">
        <v>88</v>
      </c>
      <c r="F909" s="37">
        <f>F910</f>
        <v>9.3559999999999999</v>
      </c>
      <c r="G909" s="88">
        <f t="shared" ref="G909:H909" si="352">G910</f>
        <v>0</v>
      </c>
      <c r="H909" s="37">
        <f t="shared" si="352"/>
        <v>9.3559999999999999</v>
      </c>
      <c r="I909" s="37">
        <f t="shared" si="348"/>
        <v>100</v>
      </c>
    </row>
    <row r="910" spans="1:9" s="30" customFormat="1">
      <c r="A910" s="53" t="s">
        <v>155</v>
      </c>
      <c r="B910" s="28" t="s">
        <v>345</v>
      </c>
      <c r="C910" s="28" t="s">
        <v>489</v>
      </c>
      <c r="D910" s="28" t="s">
        <v>76</v>
      </c>
      <c r="E910" s="28" t="s">
        <v>89</v>
      </c>
      <c r="F910" s="37">
        <f>6+0.242+3.114</f>
        <v>9.3559999999999999</v>
      </c>
      <c r="G910" s="88">
        <v>0</v>
      </c>
      <c r="H910" s="37">
        <v>9.3559999999999999</v>
      </c>
      <c r="I910" s="37">
        <f t="shared" si="348"/>
        <v>100</v>
      </c>
    </row>
    <row r="911" spans="1:9" s="30" customFormat="1" ht="27">
      <c r="A911" s="198" t="s">
        <v>48</v>
      </c>
      <c r="B911" s="132" t="s">
        <v>215</v>
      </c>
      <c r="C911" s="132"/>
      <c r="D911" s="132"/>
      <c r="E911" s="132"/>
      <c r="F911" s="192">
        <f>F912</f>
        <v>7010</v>
      </c>
      <c r="G911" s="192">
        <f t="shared" ref="G911:H914" si="353">G912</f>
        <v>5756.5363799999996</v>
      </c>
      <c r="H911" s="192">
        <f t="shared" si="353"/>
        <v>7010</v>
      </c>
      <c r="I911" s="192">
        <f>H911/F911*100</f>
        <v>100</v>
      </c>
    </row>
    <row r="912" spans="1:9" s="30" customFormat="1">
      <c r="A912" s="51" t="s">
        <v>399</v>
      </c>
      <c r="B912" s="21" t="s">
        <v>578</v>
      </c>
      <c r="C912" s="21" t="s">
        <v>489</v>
      </c>
      <c r="D912" s="28"/>
      <c r="E912" s="28"/>
      <c r="F912" s="38">
        <f>F913</f>
        <v>7010</v>
      </c>
      <c r="G912" s="38">
        <f t="shared" si="353"/>
        <v>5756.5363799999996</v>
      </c>
      <c r="H912" s="38">
        <f t="shared" si="353"/>
        <v>7010</v>
      </c>
      <c r="I912" s="38">
        <f>H912/F912*100</f>
        <v>100</v>
      </c>
    </row>
    <row r="913" spans="1:9" s="30" customFormat="1">
      <c r="A913" s="51" t="s">
        <v>388</v>
      </c>
      <c r="B913" s="21" t="s">
        <v>578</v>
      </c>
      <c r="C913" s="21" t="s">
        <v>489</v>
      </c>
      <c r="D913" s="21" t="s">
        <v>491</v>
      </c>
      <c r="E913" s="28"/>
      <c r="F913" s="38">
        <f>F914</f>
        <v>7010</v>
      </c>
      <c r="G913" s="38">
        <f t="shared" si="353"/>
        <v>5756.5363799999996</v>
      </c>
      <c r="H913" s="38">
        <f t="shared" si="353"/>
        <v>7010</v>
      </c>
      <c r="I913" s="38">
        <f t="shared" ref="I913:I915" si="354">H913/F913*100</f>
        <v>100</v>
      </c>
    </row>
    <row r="914" spans="1:9" s="30" customFormat="1" ht="24">
      <c r="A914" s="53" t="s">
        <v>104</v>
      </c>
      <c r="B914" s="28" t="s">
        <v>578</v>
      </c>
      <c r="C914" s="28" t="s">
        <v>489</v>
      </c>
      <c r="D914" s="28" t="s">
        <v>491</v>
      </c>
      <c r="E914" s="28" t="s">
        <v>408</v>
      </c>
      <c r="F914" s="37">
        <f>F915</f>
        <v>7010</v>
      </c>
      <c r="G914" s="37">
        <f t="shared" si="353"/>
        <v>5756.5363799999996</v>
      </c>
      <c r="H914" s="37">
        <f t="shared" si="353"/>
        <v>7010</v>
      </c>
      <c r="I914" s="37">
        <f t="shared" si="354"/>
        <v>100</v>
      </c>
    </row>
    <row r="915" spans="1:9" s="30" customFormat="1">
      <c r="A915" s="53" t="s">
        <v>105</v>
      </c>
      <c r="B915" s="28" t="s">
        <v>578</v>
      </c>
      <c r="C915" s="28" t="s">
        <v>489</v>
      </c>
      <c r="D915" s="28" t="s">
        <v>491</v>
      </c>
      <c r="E915" s="28" t="s">
        <v>425</v>
      </c>
      <c r="F915" s="37">
        <f>6610+400</f>
        <v>7010</v>
      </c>
      <c r="G915" s="37">
        <v>5756.5363799999996</v>
      </c>
      <c r="H915" s="37">
        <f>6610+400</f>
        <v>7010</v>
      </c>
      <c r="I915" s="37">
        <f t="shared" si="354"/>
        <v>100</v>
      </c>
    </row>
    <row r="916" spans="1:9" s="30" customFormat="1" ht="13.5">
      <c r="A916" s="198" t="s">
        <v>696</v>
      </c>
      <c r="B916" s="132" t="s">
        <v>215</v>
      </c>
      <c r="C916" s="132"/>
      <c r="D916" s="132"/>
      <c r="E916" s="132"/>
      <c r="F916" s="192">
        <f>F917</f>
        <v>4700</v>
      </c>
      <c r="G916" s="192">
        <f t="shared" ref="G916:H919" si="355">G917</f>
        <v>2261.8788</v>
      </c>
      <c r="H916" s="192">
        <f t="shared" si="355"/>
        <v>3900</v>
      </c>
      <c r="I916" s="192">
        <f>H916/F916*100</f>
        <v>82.978723404255319</v>
      </c>
    </row>
    <row r="917" spans="1:9" s="30" customFormat="1">
      <c r="A917" s="51" t="s">
        <v>375</v>
      </c>
      <c r="B917" s="21" t="s">
        <v>346</v>
      </c>
      <c r="C917" s="21" t="s">
        <v>432</v>
      </c>
      <c r="D917" s="21"/>
      <c r="E917" s="21"/>
      <c r="F917" s="38">
        <f>F918</f>
        <v>4700</v>
      </c>
      <c r="G917" s="38">
        <f t="shared" si="355"/>
        <v>2261.8788</v>
      </c>
      <c r="H917" s="38">
        <f t="shared" si="355"/>
        <v>3900</v>
      </c>
      <c r="I917" s="38">
        <f>H917/F917*100</f>
        <v>82.978723404255319</v>
      </c>
    </row>
    <row r="918" spans="1:9" s="30" customFormat="1">
      <c r="A918" s="51" t="s">
        <v>379</v>
      </c>
      <c r="B918" s="21" t="s">
        <v>346</v>
      </c>
      <c r="C918" s="21" t="s">
        <v>432</v>
      </c>
      <c r="D918" s="21" t="s">
        <v>483</v>
      </c>
      <c r="E918" s="21"/>
      <c r="F918" s="38">
        <f>F919</f>
        <v>4700</v>
      </c>
      <c r="G918" s="38">
        <f t="shared" si="355"/>
        <v>2261.8788</v>
      </c>
      <c r="H918" s="38">
        <f t="shared" si="355"/>
        <v>3900</v>
      </c>
      <c r="I918" s="38">
        <f t="shared" ref="I918:I920" si="356">H918/F918*100</f>
        <v>82.978723404255319</v>
      </c>
    </row>
    <row r="919" spans="1:9" s="30" customFormat="1">
      <c r="A919" s="53" t="s">
        <v>301</v>
      </c>
      <c r="B919" s="28" t="s">
        <v>346</v>
      </c>
      <c r="C919" s="120" t="s">
        <v>432</v>
      </c>
      <c r="D919" s="120" t="s">
        <v>483</v>
      </c>
      <c r="E919" s="120" t="s">
        <v>84</v>
      </c>
      <c r="F919" s="121">
        <f>F920</f>
        <v>4700</v>
      </c>
      <c r="G919" s="121">
        <f t="shared" si="355"/>
        <v>2261.8788</v>
      </c>
      <c r="H919" s="121">
        <f t="shared" si="355"/>
        <v>3900</v>
      </c>
      <c r="I919" s="37">
        <f t="shared" si="356"/>
        <v>82.978723404255319</v>
      </c>
    </row>
    <row r="920" spans="1:9" s="30" customFormat="1" ht="24">
      <c r="A920" s="53" t="s">
        <v>85</v>
      </c>
      <c r="B920" s="28" t="s">
        <v>346</v>
      </c>
      <c r="C920" s="120" t="s">
        <v>432</v>
      </c>
      <c r="D920" s="120" t="s">
        <v>483</v>
      </c>
      <c r="E920" s="120" t="s">
        <v>86</v>
      </c>
      <c r="F920" s="121">
        <f>5000-300</f>
        <v>4700</v>
      </c>
      <c r="G920" s="121">
        <v>2261.8788</v>
      </c>
      <c r="H920" s="121">
        <f>5000-300-800</f>
        <v>3900</v>
      </c>
      <c r="I920" s="37">
        <f t="shared" si="356"/>
        <v>82.978723404255319</v>
      </c>
    </row>
    <row r="921" spans="1:9" s="30" customFormat="1" ht="13.5">
      <c r="A921" s="198" t="s">
        <v>421</v>
      </c>
      <c r="B921" s="132" t="s">
        <v>215</v>
      </c>
      <c r="C921" s="132"/>
      <c r="D921" s="132"/>
      <c r="E921" s="132"/>
      <c r="F921" s="192">
        <f>F922</f>
        <v>557.41383999999994</v>
      </c>
      <c r="G921" s="192">
        <f t="shared" ref="G921:H922" si="357">G922</f>
        <v>71.771230000000003</v>
      </c>
      <c r="H921" s="192">
        <f t="shared" si="357"/>
        <v>457.41383999999999</v>
      </c>
      <c r="I921" s="192">
        <f>H921/F921*100</f>
        <v>82.060007695539099</v>
      </c>
    </row>
    <row r="922" spans="1:9" s="30" customFormat="1">
      <c r="A922" s="51" t="s">
        <v>381</v>
      </c>
      <c r="B922" s="21" t="s">
        <v>347</v>
      </c>
      <c r="C922" s="21" t="s">
        <v>490</v>
      </c>
      <c r="D922" s="21"/>
      <c r="E922" s="68"/>
      <c r="F922" s="38">
        <f>F923</f>
        <v>557.41383999999994</v>
      </c>
      <c r="G922" s="38">
        <f t="shared" si="357"/>
        <v>71.771230000000003</v>
      </c>
      <c r="H922" s="38">
        <f t="shared" si="357"/>
        <v>457.41383999999999</v>
      </c>
      <c r="I922" s="38">
        <f>H922/F922*100</f>
        <v>82.060007695539099</v>
      </c>
    </row>
    <row r="923" spans="1:9" s="30" customFormat="1">
      <c r="A923" s="54" t="s">
        <v>384</v>
      </c>
      <c r="B923" s="21" t="s">
        <v>347</v>
      </c>
      <c r="C923" s="21" t="s">
        <v>490</v>
      </c>
      <c r="D923" s="21" t="s">
        <v>490</v>
      </c>
      <c r="E923" s="21"/>
      <c r="F923" s="38">
        <f>F924+F926</f>
        <v>557.41383999999994</v>
      </c>
      <c r="G923" s="38">
        <f t="shared" ref="G923:H923" si="358">G924+G926</f>
        <v>71.771230000000003</v>
      </c>
      <c r="H923" s="38">
        <f t="shared" si="358"/>
        <v>457.41383999999999</v>
      </c>
      <c r="I923" s="38">
        <f t="shared" ref="I923:I927" si="359">H923/F923*100</f>
        <v>82.060007695539099</v>
      </c>
    </row>
    <row r="924" spans="1:9" s="30" customFormat="1">
      <c r="A924" s="53" t="s">
        <v>301</v>
      </c>
      <c r="B924" s="28" t="s">
        <v>347</v>
      </c>
      <c r="C924" s="28" t="s">
        <v>490</v>
      </c>
      <c r="D924" s="28" t="s">
        <v>490</v>
      </c>
      <c r="E924" s="28" t="s">
        <v>84</v>
      </c>
      <c r="F924" s="37">
        <f>F925</f>
        <v>252.76659000000001</v>
      </c>
      <c r="G924" s="37">
        <f t="shared" ref="G924:H924" si="360">G925</f>
        <v>71.771230000000003</v>
      </c>
      <c r="H924" s="37">
        <f t="shared" si="360"/>
        <v>152.76659000000001</v>
      </c>
      <c r="I924" s="37">
        <f t="shared" si="359"/>
        <v>60.437809443091354</v>
      </c>
    </row>
    <row r="925" spans="1:9" s="30" customFormat="1" ht="24">
      <c r="A925" s="53" t="s">
        <v>85</v>
      </c>
      <c r="B925" s="28" t="s">
        <v>347</v>
      </c>
      <c r="C925" s="28" t="s">
        <v>490</v>
      </c>
      <c r="D925" s="28" t="s">
        <v>490</v>
      </c>
      <c r="E925" s="28" t="s">
        <v>86</v>
      </c>
      <c r="F925" s="37">
        <f>750-304.64725-192.58616</f>
        <v>252.76659000000001</v>
      </c>
      <c r="G925" s="37">
        <v>71.771230000000003</v>
      </c>
      <c r="H925" s="37">
        <f>750-304.64725-192.58616-100</f>
        <v>152.76659000000001</v>
      </c>
      <c r="I925" s="37">
        <f t="shared" si="359"/>
        <v>60.437809443091354</v>
      </c>
    </row>
    <row r="926" spans="1:9" s="30" customFormat="1" ht="24">
      <c r="A926" s="53" t="s">
        <v>104</v>
      </c>
      <c r="B926" s="28" t="s">
        <v>347</v>
      </c>
      <c r="C926" s="28" t="s">
        <v>490</v>
      </c>
      <c r="D926" s="28" t="s">
        <v>490</v>
      </c>
      <c r="E926" s="28" t="s">
        <v>408</v>
      </c>
      <c r="F926" s="37">
        <f>F927</f>
        <v>304.64724999999999</v>
      </c>
      <c r="G926" s="88">
        <f t="shared" ref="G926:H926" si="361">G927</f>
        <v>0</v>
      </c>
      <c r="H926" s="37">
        <f t="shared" si="361"/>
        <v>304.64724999999999</v>
      </c>
      <c r="I926" s="37">
        <f t="shared" si="359"/>
        <v>100</v>
      </c>
    </row>
    <row r="927" spans="1:9" s="30" customFormat="1">
      <c r="A927" s="53" t="s">
        <v>105</v>
      </c>
      <c r="B927" s="28" t="s">
        <v>347</v>
      </c>
      <c r="C927" s="28" t="s">
        <v>490</v>
      </c>
      <c r="D927" s="28" t="s">
        <v>490</v>
      </c>
      <c r="E927" s="28" t="s">
        <v>425</v>
      </c>
      <c r="F927" s="37">
        <v>304.64724999999999</v>
      </c>
      <c r="G927" s="88">
        <v>0</v>
      </c>
      <c r="H927" s="37">
        <v>304.64724999999999</v>
      </c>
      <c r="I927" s="37">
        <f t="shared" si="359"/>
        <v>100</v>
      </c>
    </row>
    <row r="928" spans="1:9" s="30" customFormat="1" ht="27">
      <c r="A928" s="131" t="s">
        <v>428</v>
      </c>
      <c r="B928" s="132" t="s">
        <v>214</v>
      </c>
      <c r="C928" s="132"/>
      <c r="D928" s="132"/>
      <c r="E928" s="132"/>
      <c r="F928" s="192">
        <f>F929</f>
        <v>113140.6</v>
      </c>
      <c r="G928" s="192">
        <f t="shared" ref="G928:H932" si="362">G929</f>
        <v>49207.341820000001</v>
      </c>
      <c r="H928" s="192">
        <f t="shared" si="362"/>
        <v>68140.600000000006</v>
      </c>
      <c r="I928" s="192">
        <f>H928/F928*100</f>
        <v>60.226479265621712</v>
      </c>
    </row>
    <row r="929" spans="1:9" s="30" customFormat="1" ht="24">
      <c r="A929" s="69" t="s">
        <v>400</v>
      </c>
      <c r="B929" s="21" t="s">
        <v>676</v>
      </c>
      <c r="C929" s="21" t="s">
        <v>93</v>
      </c>
      <c r="D929" s="21"/>
      <c r="E929" s="21"/>
      <c r="F929" s="38">
        <f>F930</f>
        <v>113140.6</v>
      </c>
      <c r="G929" s="38">
        <f t="shared" si="362"/>
        <v>49207.341820000001</v>
      </c>
      <c r="H929" s="38">
        <f t="shared" si="362"/>
        <v>68140.600000000006</v>
      </c>
      <c r="I929" s="38">
        <f>H929/F929*100</f>
        <v>60.226479265621712</v>
      </c>
    </row>
    <row r="930" spans="1:9" s="30" customFormat="1" ht="15.75">
      <c r="A930" s="69" t="s">
        <v>428</v>
      </c>
      <c r="B930" s="21" t="s">
        <v>676</v>
      </c>
      <c r="C930" s="21" t="s">
        <v>93</v>
      </c>
      <c r="D930" s="21" t="s">
        <v>76</v>
      </c>
      <c r="E930" s="42"/>
      <c r="F930" s="38">
        <f>F931</f>
        <v>113140.6</v>
      </c>
      <c r="G930" s="38">
        <f t="shared" si="362"/>
        <v>49207.341820000001</v>
      </c>
      <c r="H930" s="38">
        <f t="shared" si="362"/>
        <v>68140.600000000006</v>
      </c>
      <c r="I930" s="38">
        <f t="shared" ref="I930:I933" si="363">H930/F930*100</f>
        <v>60.226479265621712</v>
      </c>
    </row>
    <row r="931" spans="1:9" s="30" customFormat="1">
      <c r="A931" s="73" t="s">
        <v>316</v>
      </c>
      <c r="B931" s="48" t="s">
        <v>676</v>
      </c>
      <c r="C931" s="31" t="s">
        <v>93</v>
      </c>
      <c r="D931" s="31" t="s">
        <v>76</v>
      </c>
      <c r="E931" s="31"/>
      <c r="F931" s="77">
        <f>F932</f>
        <v>113140.6</v>
      </c>
      <c r="G931" s="77">
        <f t="shared" si="362"/>
        <v>49207.341820000001</v>
      </c>
      <c r="H931" s="77">
        <f t="shared" si="362"/>
        <v>68140.600000000006</v>
      </c>
      <c r="I931" s="77">
        <f t="shared" si="363"/>
        <v>60.226479265621712</v>
      </c>
    </row>
    <row r="932" spans="1:9" s="30" customFormat="1">
      <c r="A932" s="72" t="s">
        <v>305</v>
      </c>
      <c r="B932" s="28" t="s">
        <v>676</v>
      </c>
      <c r="C932" s="28" t="s">
        <v>93</v>
      </c>
      <c r="D932" s="28" t="s">
        <v>76</v>
      </c>
      <c r="E932" s="28" t="s">
        <v>306</v>
      </c>
      <c r="F932" s="37">
        <f>F933</f>
        <v>113140.6</v>
      </c>
      <c r="G932" s="37">
        <f t="shared" si="362"/>
        <v>49207.341820000001</v>
      </c>
      <c r="H932" s="37">
        <f t="shared" si="362"/>
        <v>68140.600000000006</v>
      </c>
      <c r="I932" s="37">
        <f t="shared" si="363"/>
        <v>60.226479265621712</v>
      </c>
    </row>
    <row r="933" spans="1:9" s="30" customFormat="1">
      <c r="A933" s="72" t="s">
        <v>307</v>
      </c>
      <c r="B933" s="28" t="s">
        <v>676</v>
      </c>
      <c r="C933" s="28" t="s">
        <v>93</v>
      </c>
      <c r="D933" s="28" t="s">
        <v>76</v>
      </c>
      <c r="E933" s="28" t="s">
        <v>414</v>
      </c>
      <c r="F933" s="37">
        <f>115000-1859.4</f>
        <v>113140.6</v>
      </c>
      <c r="G933" s="37">
        <v>49207.341820000001</v>
      </c>
      <c r="H933" s="37">
        <f>115000-1859.4-30920.8+2777-16856.2</f>
        <v>68140.600000000006</v>
      </c>
      <c r="I933" s="37">
        <f t="shared" si="363"/>
        <v>60.226479265621712</v>
      </c>
    </row>
    <row r="934" spans="1:9" s="30" customFormat="1" ht="27">
      <c r="A934" s="198" t="s">
        <v>308</v>
      </c>
      <c r="B934" s="132" t="s">
        <v>215</v>
      </c>
      <c r="C934" s="132"/>
      <c r="D934" s="132"/>
      <c r="E934" s="186"/>
      <c r="F934" s="192">
        <f>F935</f>
        <v>1000</v>
      </c>
      <c r="G934" s="192">
        <f t="shared" ref="G934:H937" si="364">G935</f>
        <v>351.9</v>
      </c>
      <c r="H934" s="192">
        <f t="shared" si="364"/>
        <v>1000</v>
      </c>
      <c r="I934" s="192">
        <f>H934/F934*100</f>
        <v>100</v>
      </c>
    </row>
    <row r="935" spans="1:9" s="30" customFormat="1">
      <c r="A935" s="51" t="s">
        <v>114</v>
      </c>
      <c r="B935" s="21" t="s">
        <v>677</v>
      </c>
      <c r="C935" s="21" t="s">
        <v>76</v>
      </c>
      <c r="D935" s="22"/>
      <c r="E935" s="55"/>
      <c r="F935" s="38">
        <f>F936</f>
        <v>1000</v>
      </c>
      <c r="G935" s="38">
        <f t="shared" si="364"/>
        <v>351.9</v>
      </c>
      <c r="H935" s="38">
        <f t="shared" si="364"/>
        <v>1000</v>
      </c>
      <c r="I935" s="38">
        <f>H935/F935*100</f>
        <v>100</v>
      </c>
    </row>
    <row r="936" spans="1:9" s="30" customFormat="1">
      <c r="A936" s="51" t="s">
        <v>427</v>
      </c>
      <c r="B936" s="21" t="s">
        <v>677</v>
      </c>
      <c r="C936" s="21" t="s">
        <v>76</v>
      </c>
      <c r="D936" s="21" t="s">
        <v>93</v>
      </c>
      <c r="E936" s="21"/>
      <c r="F936" s="38">
        <f>F937</f>
        <v>1000</v>
      </c>
      <c r="G936" s="38">
        <f t="shared" si="364"/>
        <v>351.9</v>
      </c>
      <c r="H936" s="38">
        <f t="shared" si="364"/>
        <v>1000</v>
      </c>
      <c r="I936" s="38">
        <f t="shared" ref="I936:I938" si="365">H936/F936*100</f>
        <v>100</v>
      </c>
    </row>
    <row r="937" spans="1:9" s="30" customFormat="1">
      <c r="A937" s="53" t="s">
        <v>301</v>
      </c>
      <c r="B937" s="28" t="s">
        <v>677</v>
      </c>
      <c r="C937" s="28" t="s">
        <v>76</v>
      </c>
      <c r="D937" s="28" t="s">
        <v>93</v>
      </c>
      <c r="E937" s="29">
        <v>200</v>
      </c>
      <c r="F937" s="37">
        <f>F938</f>
        <v>1000</v>
      </c>
      <c r="G937" s="37">
        <f t="shared" si="364"/>
        <v>351.9</v>
      </c>
      <c r="H937" s="37">
        <f t="shared" si="364"/>
        <v>1000</v>
      </c>
      <c r="I937" s="37">
        <f t="shared" si="365"/>
        <v>100</v>
      </c>
    </row>
    <row r="938" spans="1:9" s="30" customFormat="1" ht="24">
      <c r="A938" s="53" t="s">
        <v>85</v>
      </c>
      <c r="B938" s="28" t="s">
        <v>677</v>
      </c>
      <c r="C938" s="28" t="s">
        <v>76</v>
      </c>
      <c r="D938" s="28" t="s">
        <v>93</v>
      </c>
      <c r="E938" s="28" t="s">
        <v>86</v>
      </c>
      <c r="F938" s="37">
        <v>1000</v>
      </c>
      <c r="G938" s="37">
        <v>351.9</v>
      </c>
      <c r="H938" s="37">
        <v>1000</v>
      </c>
      <c r="I938" s="37">
        <f t="shared" si="365"/>
        <v>100</v>
      </c>
    </row>
    <row r="939" spans="1:9" s="30" customFormat="1" ht="13.5">
      <c r="A939" s="131" t="s">
        <v>348</v>
      </c>
      <c r="B939" s="132" t="s">
        <v>214</v>
      </c>
      <c r="C939" s="132"/>
      <c r="D939" s="132"/>
      <c r="E939" s="132"/>
      <c r="F939" s="192">
        <f>F940</f>
        <v>960</v>
      </c>
      <c r="G939" s="192">
        <f t="shared" ref="G939:H942" si="366">G940</f>
        <v>96.125</v>
      </c>
      <c r="H939" s="192">
        <f t="shared" si="366"/>
        <v>960</v>
      </c>
      <c r="I939" s="192">
        <f>H939/F939*100</f>
        <v>100</v>
      </c>
    </row>
    <row r="940" spans="1:9" s="30" customFormat="1" ht="13.5">
      <c r="A940" s="51" t="s">
        <v>363</v>
      </c>
      <c r="B940" s="21" t="s">
        <v>678</v>
      </c>
      <c r="C940" s="21" t="s">
        <v>78</v>
      </c>
      <c r="D940" s="47"/>
      <c r="E940" s="47"/>
      <c r="F940" s="38">
        <f>F941</f>
        <v>960</v>
      </c>
      <c r="G940" s="38">
        <f t="shared" si="366"/>
        <v>96.125</v>
      </c>
      <c r="H940" s="38">
        <f t="shared" si="366"/>
        <v>960</v>
      </c>
      <c r="I940" s="38">
        <f>H940/F940*100</f>
        <v>100</v>
      </c>
    </row>
    <row r="941" spans="1:9" s="30" customFormat="1" ht="13.5">
      <c r="A941" s="51" t="s">
        <v>405</v>
      </c>
      <c r="B941" s="21" t="s">
        <v>678</v>
      </c>
      <c r="C941" s="21" t="s">
        <v>78</v>
      </c>
      <c r="D941" s="21" t="s">
        <v>489</v>
      </c>
      <c r="E941" s="47"/>
      <c r="F941" s="38">
        <f>F942</f>
        <v>960</v>
      </c>
      <c r="G941" s="38">
        <f t="shared" si="366"/>
        <v>96.125</v>
      </c>
      <c r="H941" s="38">
        <f t="shared" si="366"/>
        <v>960</v>
      </c>
      <c r="I941" s="38">
        <f t="shared" ref="I941:I943" si="367">H941/F941*100</f>
        <v>100</v>
      </c>
    </row>
    <row r="942" spans="1:9" s="30" customFormat="1">
      <c r="A942" s="72" t="s">
        <v>301</v>
      </c>
      <c r="B942" s="28" t="s">
        <v>678</v>
      </c>
      <c r="C942" s="28" t="s">
        <v>78</v>
      </c>
      <c r="D942" s="28" t="s">
        <v>489</v>
      </c>
      <c r="E942" s="28" t="s">
        <v>84</v>
      </c>
      <c r="F942" s="37">
        <f>F943</f>
        <v>960</v>
      </c>
      <c r="G942" s="37">
        <f t="shared" si="366"/>
        <v>96.125</v>
      </c>
      <c r="H942" s="37">
        <f t="shared" si="366"/>
        <v>960</v>
      </c>
      <c r="I942" s="37">
        <f t="shared" si="367"/>
        <v>100</v>
      </c>
    </row>
    <row r="943" spans="1:9" s="30" customFormat="1" ht="24">
      <c r="A943" s="72" t="s">
        <v>85</v>
      </c>
      <c r="B943" s="28" t="s">
        <v>678</v>
      </c>
      <c r="C943" s="28" t="s">
        <v>78</v>
      </c>
      <c r="D943" s="28" t="s">
        <v>489</v>
      </c>
      <c r="E943" s="28" t="s">
        <v>86</v>
      </c>
      <c r="F943" s="37">
        <f>1000-40</f>
        <v>960</v>
      </c>
      <c r="G943" s="37">
        <v>96.125</v>
      </c>
      <c r="H943" s="37">
        <v>960</v>
      </c>
      <c r="I943" s="37">
        <f t="shared" si="367"/>
        <v>100</v>
      </c>
    </row>
    <row r="944" spans="1:9" s="30" customFormat="1" ht="13.5">
      <c r="A944" s="198" t="s">
        <v>714</v>
      </c>
      <c r="B944" s="132" t="s">
        <v>215</v>
      </c>
      <c r="C944" s="132"/>
      <c r="D944" s="132"/>
      <c r="E944" s="132"/>
      <c r="F944" s="192">
        <f>F945+F950</f>
        <v>33664.167000000001</v>
      </c>
      <c r="G944" s="192">
        <f t="shared" ref="G944:H944" si="368">G945+G950</f>
        <v>30669.049450000002</v>
      </c>
      <c r="H944" s="192">
        <f t="shared" si="368"/>
        <v>30669.049450000002</v>
      </c>
      <c r="I944" s="192">
        <f>H944/F944*100</f>
        <v>91.102950653732208</v>
      </c>
    </row>
    <row r="945" spans="1:9" s="30" customFormat="1">
      <c r="A945" s="51" t="s">
        <v>406</v>
      </c>
      <c r="B945" s="21" t="s">
        <v>713</v>
      </c>
      <c r="C945" s="21" t="s">
        <v>515</v>
      </c>
      <c r="D945" s="21"/>
      <c r="E945" s="21"/>
      <c r="F945" s="38">
        <f>F946</f>
        <v>30664.167000000001</v>
      </c>
      <c r="G945" s="38">
        <f t="shared" ref="G945:H948" si="369">G946</f>
        <v>30664.167000000001</v>
      </c>
      <c r="H945" s="38">
        <f t="shared" si="369"/>
        <v>30664.167000000001</v>
      </c>
      <c r="I945" s="38">
        <f>H945/F945*100</f>
        <v>100</v>
      </c>
    </row>
    <row r="946" spans="1:9" s="30" customFormat="1">
      <c r="A946" s="51" t="s">
        <v>394</v>
      </c>
      <c r="B946" s="21" t="s">
        <v>713</v>
      </c>
      <c r="C946" s="21" t="s">
        <v>515</v>
      </c>
      <c r="D946" s="21" t="s">
        <v>483</v>
      </c>
      <c r="E946" s="21"/>
      <c r="F946" s="38">
        <f>F947</f>
        <v>30664.167000000001</v>
      </c>
      <c r="G946" s="38">
        <f t="shared" si="369"/>
        <v>30664.167000000001</v>
      </c>
      <c r="H946" s="38">
        <f t="shared" si="369"/>
        <v>30664.167000000001</v>
      </c>
      <c r="I946" s="38">
        <f t="shared" ref="I946:I954" si="370">H946/F946*100</f>
        <v>100</v>
      </c>
    </row>
    <row r="947" spans="1:9" s="30" customFormat="1" ht="24">
      <c r="A947" s="69" t="s">
        <v>712</v>
      </c>
      <c r="B947" s="21" t="s">
        <v>713</v>
      </c>
      <c r="C947" s="21" t="s">
        <v>515</v>
      </c>
      <c r="D947" s="21" t="s">
        <v>483</v>
      </c>
      <c r="E947" s="21"/>
      <c r="F947" s="38">
        <f>F948</f>
        <v>30664.167000000001</v>
      </c>
      <c r="G947" s="38">
        <f t="shared" si="369"/>
        <v>30664.167000000001</v>
      </c>
      <c r="H947" s="38">
        <f t="shared" si="369"/>
        <v>30664.167000000001</v>
      </c>
      <c r="I947" s="38">
        <f t="shared" si="370"/>
        <v>100</v>
      </c>
    </row>
    <row r="948" spans="1:9" s="30" customFormat="1">
      <c r="A948" s="53" t="s">
        <v>95</v>
      </c>
      <c r="B948" s="28" t="s">
        <v>713</v>
      </c>
      <c r="C948" s="28" t="s">
        <v>515</v>
      </c>
      <c r="D948" s="28" t="s">
        <v>483</v>
      </c>
      <c r="E948" s="28" t="s">
        <v>94</v>
      </c>
      <c r="F948" s="37">
        <f>F949</f>
        <v>30664.167000000001</v>
      </c>
      <c r="G948" s="37">
        <f t="shared" si="369"/>
        <v>30664.167000000001</v>
      </c>
      <c r="H948" s="37">
        <f t="shared" si="369"/>
        <v>30664.167000000001</v>
      </c>
      <c r="I948" s="37">
        <f t="shared" si="370"/>
        <v>100</v>
      </c>
    </row>
    <row r="949" spans="1:9" s="30" customFormat="1" ht="24">
      <c r="A949" s="53" t="s">
        <v>96</v>
      </c>
      <c r="B949" s="28" t="s">
        <v>713</v>
      </c>
      <c r="C949" s="28" t="s">
        <v>515</v>
      </c>
      <c r="D949" s="28" t="s">
        <v>483</v>
      </c>
      <c r="E949" s="28" t="s">
        <v>97</v>
      </c>
      <c r="F949" s="37">
        <v>30664.167000000001</v>
      </c>
      <c r="G949" s="37">
        <v>30664.167000000001</v>
      </c>
      <c r="H949" s="37">
        <v>30664.167000000001</v>
      </c>
      <c r="I949" s="37">
        <f t="shared" si="370"/>
        <v>100</v>
      </c>
    </row>
    <row r="950" spans="1:9" s="30" customFormat="1">
      <c r="A950" s="51" t="s">
        <v>406</v>
      </c>
      <c r="B950" s="21" t="s">
        <v>496</v>
      </c>
      <c r="C950" s="21" t="s">
        <v>515</v>
      </c>
      <c r="D950" s="21"/>
      <c r="E950" s="21"/>
      <c r="F950" s="38">
        <f>F951</f>
        <v>3000</v>
      </c>
      <c r="G950" s="38">
        <f t="shared" ref="G950:H953" si="371">G951</f>
        <v>4.8824500000000004</v>
      </c>
      <c r="H950" s="38">
        <f t="shared" si="371"/>
        <v>4.8824500000000004</v>
      </c>
      <c r="I950" s="38">
        <f t="shared" si="370"/>
        <v>0.16274833333333336</v>
      </c>
    </row>
    <row r="951" spans="1:9" s="30" customFormat="1">
      <c r="A951" s="51" t="s">
        <v>394</v>
      </c>
      <c r="B951" s="21" t="s">
        <v>496</v>
      </c>
      <c r="C951" s="21" t="s">
        <v>515</v>
      </c>
      <c r="D951" s="21" t="s">
        <v>483</v>
      </c>
      <c r="E951" s="21"/>
      <c r="F951" s="38">
        <f>F952</f>
        <v>3000</v>
      </c>
      <c r="G951" s="38">
        <f t="shared" si="371"/>
        <v>4.8824500000000004</v>
      </c>
      <c r="H951" s="38">
        <f t="shared" si="371"/>
        <v>4.8824500000000004</v>
      </c>
      <c r="I951" s="38">
        <f t="shared" si="370"/>
        <v>0.16274833333333336</v>
      </c>
    </row>
    <row r="952" spans="1:9" s="30" customFormat="1">
      <c r="A952" s="69" t="s">
        <v>459</v>
      </c>
      <c r="B952" s="21" t="s">
        <v>496</v>
      </c>
      <c r="C952" s="21" t="s">
        <v>515</v>
      </c>
      <c r="D952" s="21" t="s">
        <v>483</v>
      </c>
      <c r="E952" s="21"/>
      <c r="F952" s="38">
        <f>F953</f>
        <v>3000</v>
      </c>
      <c r="G952" s="38">
        <f t="shared" si="371"/>
        <v>4.8824500000000004</v>
      </c>
      <c r="H952" s="38">
        <f t="shared" si="371"/>
        <v>4.8824500000000004</v>
      </c>
      <c r="I952" s="38">
        <f t="shared" si="370"/>
        <v>0.16274833333333336</v>
      </c>
    </row>
    <row r="953" spans="1:9" s="30" customFormat="1">
      <c r="A953" s="53" t="s">
        <v>95</v>
      </c>
      <c r="B953" s="28" t="s">
        <v>496</v>
      </c>
      <c r="C953" s="28" t="s">
        <v>515</v>
      </c>
      <c r="D953" s="28" t="s">
        <v>483</v>
      </c>
      <c r="E953" s="28" t="s">
        <v>94</v>
      </c>
      <c r="F953" s="37">
        <f>F954</f>
        <v>3000</v>
      </c>
      <c r="G953" s="37">
        <f t="shared" si="371"/>
        <v>4.8824500000000004</v>
      </c>
      <c r="H953" s="37">
        <f t="shared" si="371"/>
        <v>4.8824500000000004</v>
      </c>
      <c r="I953" s="37">
        <f t="shared" si="370"/>
        <v>0.16274833333333336</v>
      </c>
    </row>
    <row r="954" spans="1:9" s="30" customFormat="1" ht="24">
      <c r="A954" s="53" t="s">
        <v>96</v>
      </c>
      <c r="B954" s="28" t="s">
        <v>496</v>
      </c>
      <c r="C954" s="28" t="s">
        <v>515</v>
      </c>
      <c r="D954" s="28" t="s">
        <v>483</v>
      </c>
      <c r="E954" s="28" t="s">
        <v>97</v>
      </c>
      <c r="F954" s="37">
        <v>3000</v>
      </c>
      <c r="G954" s="37">
        <v>4.8824500000000004</v>
      </c>
      <c r="H954" s="37">
        <v>4.8824500000000004</v>
      </c>
      <c r="I954" s="37">
        <f t="shared" si="370"/>
        <v>0.16274833333333336</v>
      </c>
    </row>
    <row r="955" spans="1:9" s="30" customFormat="1" ht="27">
      <c r="A955" s="198" t="s">
        <v>27</v>
      </c>
      <c r="B955" s="132" t="s">
        <v>175</v>
      </c>
      <c r="C955" s="132"/>
      <c r="D955" s="132"/>
      <c r="E955" s="132"/>
      <c r="F955" s="192">
        <f>F956</f>
        <v>2194</v>
      </c>
      <c r="G955" s="192">
        <f t="shared" ref="G955:H959" si="372">G956</f>
        <v>1651.8530900000001</v>
      </c>
      <c r="H955" s="192">
        <f t="shared" si="372"/>
        <v>2194</v>
      </c>
      <c r="I955" s="192">
        <f>H955/F955*100</f>
        <v>100</v>
      </c>
    </row>
    <row r="956" spans="1:9" s="30" customFormat="1" ht="24">
      <c r="A956" s="52" t="s">
        <v>35</v>
      </c>
      <c r="B956" s="21" t="s">
        <v>175</v>
      </c>
      <c r="C956" s="21"/>
      <c r="D956" s="21"/>
      <c r="E956" s="21"/>
      <c r="F956" s="38">
        <f>F957</f>
        <v>2194</v>
      </c>
      <c r="G956" s="38">
        <f t="shared" si="372"/>
        <v>1651.8530900000001</v>
      </c>
      <c r="H956" s="38">
        <f t="shared" si="372"/>
        <v>2194</v>
      </c>
      <c r="I956" s="38">
        <f>H956/F956*100</f>
        <v>100</v>
      </c>
    </row>
    <row r="957" spans="1:9" s="30" customFormat="1">
      <c r="A957" s="51" t="s">
        <v>114</v>
      </c>
      <c r="B957" s="21" t="s">
        <v>231</v>
      </c>
      <c r="C957" s="33" t="s">
        <v>76</v>
      </c>
      <c r="D957" s="33"/>
      <c r="E957" s="28"/>
      <c r="F957" s="38">
        <f>F958</f>
        <v>2194</v>
      </c>
      <c r="G957" s="38">
        <f t="shared" si="372"/>
        <v>1651.8530900000001</v>
      </c>
      <c r="H957" s="38">
        <f t="shared" si="372"/>
        <v>2194</v>
      </c>
      <c r="I957" s="38">
        <f t="shared" ref="I957:I960" si="373">H957/F957*100</f>
        <v>100</v>
      </c>
    </row>
    <row r="958" spans="1:9" s="30" customFormat="1">
      <c r="A958" s="51" t="s">
        <v>427</v>
      </c>
      <c r="B958" s="21" t="s">
        <v>231</v>
      </c>
      <c r="C958" s="33" t="s">
        <v>76</v>
      </c>
      <c r="D958" s="33" t="s">
        <v>93</v>
      </c>
      <c r="E958" s="22"/>
      <c r="F958" s="38">
        <f>F959</f>
        <v>2194</v>
      </c>
      <c r="G958" s="38">
        <f t="shared" si="372"/>
        <v>1651.8530900000001</v>
      </c>
      <c r="H958" s="38">
        <f t="shared" si="372"/>
        <v>2194</v>
      </c>
      <c r="I958" s="38">
        <f t="shared" si="373"/>
        <v>100</v>
      </c>
    </row>
    <row r="959" spans="1:9" s="30" customFormat="1" ht="36">
      <c r="A959" s="53" t="s">
        <v>79</v>
      </c>
      <c r="B959" s="28" t="s">
        <v>231</v>
      </c>
      <c r="C959" s="28" t="s">
        <v>76</v>
      </c>
      <c r="D959" s="28" t="s">
        <v>93</v>
      </c>
      <c r="E959" s="28" t="s">
        <v>80</v>
      </c>
      <c r="F959" s="37">
        <f>F960</f>
        <v>2194</v>
      </c>
      <c r="G959" s="37">
        <f t="shared" si="372"/>
        <v>1651.8530900000001</v>
      </c>
      <c r="H959" s="37">
        <f t="shared" si="372"/>
        <v>2194</v>
      </c>
      <c r="I959" s="37">
        <f t="shared" si="373"/>
        <v>100</v>
      </c>
    </row>
    <row r="960" spans="1:9" s="30" customFormat="1">
      <c r="A960" s="53" t="s">
        <v>81</v>
      </c>
      <c r="B960" s="28" t="s">
        <v>231</v>
      </c>
      <c r="C960" s="28" t="s">
        <v>76</v>
      </c>
      <c r="D960" s="28" t="s">
        <v>93</v>
      </c>
      <c r="E960" s="28" t="s">
        <v>82</v>
      </c>
      <c r="F960" s="37">
        <v>2194</v>
      </c>
      <c r="G960" s="37">
        <v>1651.8530900000001</v>
      </c>
      <c r="H960" s="37">
        <v>2194</v>
      </c>
      <c r="I960" s="37">
        <f t="shared" si="373"/>
        <v>100</v>
      </c>
    </row>
    <row r="961" spans="1:9" ht="40.5">
      <c r="A961" s="131" t="s">
        <v>457</v>
      </c>
      <c r="B961" s="132" t="s">
        <v>215</v>
      </c>
      <c r="C961" s="132"/>
      <c r="D961" s="132"/>
      <c r="E961" s="132"/>
      <c r="F961" s="192">
        <f>F962</f>
        <v>189.5</v>
      </c>
      <c r="G961" s="197">
        <f t="shared" ref="G961:H964" si="374">G962</f>
        <v>0</v>
      </c>
      <c r="H961" s="192">
        <f t="shared" si="374"/>
        <v>189.5</v>
      </c>
      <c r="I961" s="192">
        <f>H961/F961*100</f>
        <v>100</v>
      </c>
    </row>
    <row r="962" spans="1:9">
      <c r="A962" s="51" t="s">
        <v>114</v>
      </c>
      <c r="B962" s="21" t="s">
        <v>351</v>
      </c>
      <c r="C962" s="33" t="s">
        <v>76</v>
      </c>
      <c r="D962" s="21"/>
      <c r="E962" s="21"/>
      <c r="F962" s="38">
        <f>F963</f>
        <v>189.5</v>
      </c>
      <c r="G962" s="87">
        <f t="shared" si="374"/>
        <v>0</v>
      </c>
      <c r="H962" s="38">
        <f t="shared" si="374"/>
        <v>189.5</v>
      </c>
      <c r="I962" s="38">
        <f>H962/F962*100</f>
        <v>100</v>
      </c>
    </row>
    <row r="963" spans="1:9">
      <c r="A963" s="69" t="s">
        <v>454</v>
      </c>
      <c r="B963" s="21" t="s">
        <v>351</v>
      </c>
      <c r="C963" s="21" t="s">
        <v>76</v>
      </c>
      <c r="D963" s="21" t="s">
        <v>432</v>
      </c>
      <c r="E963" s="21"/>
      <c r="F963" s="38">
        <f>F964</f>
        <v>189.5</v>
      </c>
      <c r="G963" s="87">
        <f t="shared" si="374"/>
        <v>0</v>
      </c>
      <c r="H963" s="38">
        <f t="shared" si="374"/>
        <v>189.5</v>
      </c>
      <c r="I963" s="38">
        <f t="shared" ref="I963:I965" si="375">H963/F963*100</f>
        <v>100</v>
      </c>
    </row>
    <row r="964" spans="1:9">
      <c r="A964" s="72" t="s">
        <v>301</v>
      </c>
      <c r="B964" s="28" t="s">
        <v>351</v>
      </c>
      <c r="C964" s="28" t="s">
        <v>76</v>
      </c>
      <c r="D964" s="28" t="s">
        <v>432</v>
      </c>
      <c r="E964" s="28" t="s">
        <v>84</v>
      </c>
      <c r="F964" s="37">
        <f>F965</f>
        <v>189.5</v>
      </c>
      <c r="G964" s="88">
        <f t="shared" si="374"/>
        <v>0</v>
      </c>
      <c r="H964" s="37">
        <f t="shared" si="374"/>
        <v>189.5</v>
      </c>
      <c r="I964" s="37">
        <f t="shared" si="375"/>
        <v>100</v>
      </c>
    </row>
    <row r="965" spans="1:9" ht="24">
      <c r="A965" s="72" t="s">
        <v>85</v>
      </c>
      <c r="B965" s="28" t="s">
        <v>351</v>
      </c>
      <c r="C965" s="28" t="s">
        <v>76</v>
      </c>
      <c r="D965" s="28" t="s">
        <v>432</v>
      </c>
      <c r="E965" s="28" t="s">
        <v>86</v>
      </c>
      <c r="F965" s="37">
        <v>189.5</v>
      </c>
      <c r="G965" s="88">
        <v>0</v>
      </c>
      <c r="H965" s="37">
        <v>189.5</v>
      </c>
      <c r="I965" s="37">
        <f t="shared" si="375"/>
        <v>100</v>
      </c>
    </row>
    <row r="966" spans="1:9" ht="27">
      <c r="A966" s="131" t="s">
        <v>739</v>
      </c>
      <c r="B966" s="132" t="s">
        <v>215</v>
      </c>
      <c r="C966" s="132"/>
      <c r="D966" s="132"/>
      <c r="E966" s="132"/>
      <c r="F966" s="197">
        <f>F967</f>
        <v>1000</v>
      </c>
      <c r="G966" s="197">
        <f t="shared" ref="G966:H969" si="376">G967</f>
        <v>0</v>
      </c>
      <c r="H966" s="197">
        <f t="shared" si="376"/>
        <v>1000</v>
      </c>
      <c r="I966" s="192">
        <f>H966/F966*100</f>
        <v>100</v>
      </c>
    </row>
    <row r="967" spans="1:9" ht="13.5">
      <c r="A967" s="51" t="s">
        <v>363</v>
      </c>
      <c r="B967" s="21" t="s">
        <v>740</v>
      </c>
      <c r="C967" s="21" t="s">
        <v>78</v>
      </c>
      <c r="D967" s="47"/>
      <c r="E967" s="28"/>
      <c r="F967" s="87">
        <f>F968</f>
        <v>1000</v>
      </c>
      <c r="G967" s="87">
        <f t="shared" si="376"/>
        <v>0</v>
      </c>
      <c r="H967" s="87">
        <f t="shared" si="376"/>
        <v>1000</v>
      </c>
      <c r="I967" s="38">
        <f>H967/F967*100</f>
        <v>100</v>
      </c>
    </row>
    <row r="968" spans="1:9">
      <c r="A968" s="51" t="s">
        <v>405</v>
      </c>
      <c r="B968" s="21" t="s">
        <v>740</v>
      </c>
      <c r="C968" s="21" t="s">
        <v>78</v>
      </c>
      <c r="D968" s="21" t="s">
        <v>489</v>
      </c>
      <c r="E968" s="28"/>
      <c r="F968" s="87">
        <f>F969</f>
        <v>1000</v>
      </c>
      <c r="G968" s="87">
        <f t="shared" si="376"/>
        <v>0</v>
      </c>
      <c r="H968" s="87">
        <f t="shared" si="376"/>
        <v>1000</v>
      </c>
      <c r="I968" s="38">
        <f t="shared" ref="I968:I970" si="377">H968/F968*100</f>
        <v>100</v>
      </c>
    </row>
    <row r="969" spans="1:9">
      <c r="A969" s="119" t="s">
        <v>95</v>
      </c>
      <c r="B969" s="120" t="s">
        <v>740</v>
      </c>
      <c r="C969" s="120" t="s">
        <v>78</v>
      </c>
      <c r="D969" s="120" t="s">
        <v>489</v>
      </c>
      <c r="E969" s="28" t="s">
        <v>94</v>
      </c>
      <c r="F969" s="88">
        <f>F970</f>
        <v>1000</v>
      </c>
      <c r="G969" s="88">
        <f t="shared" si="376"/>
        <v>0</v>
      </c>
      <c r="H969" s="88">
        <f t="shared" si="376"/>
        <v>1000</v>
      </c>
      <c r="I969" s="37">
        <f t="shared" si="377"/>
        <v>100</v>
      </c>
    </row>
    <row r="970" spans="1:9">
      <c r="A970" s="119" t="s">
        <v>698</v>
      </c>
      <c r="B970" s="120" t="s">
        <v>740</v>
      </c>
      <c r="C970" s="120" t="s">
        <v>78</v>
      </c>
      <c r="D970" s="120" t="s">
        <v>489</v>
      </c>
      <c r="E970" s="28" t="s">
        <v>680</v>
      </c>
      <c r="F970" s="88">
        <v>1000</v>
      </c>
      <c r="G970" s="88">
        <v>0</v>
      </c>
      <c r="H970" s="88">
        <v>1000</v>
      </c>
      <c r="I970" s="37">
        <f t="shared" si="377"/>
        <v>100</v>
      </c>
    </row>
    <row r="971" spans="1:9" ht="40.5">
      <c r="A971" s="193" t="s">
        <v>747</v>
      </c>
      <c r="B971" s="194" t="s">
        <v>215</v>
      </c>
      <c r="C971" s="216"/>
      <c r="D971" s="216"/>
      <c r="E971" s="216"/>
      <c r="F971" s="196">
        <f>F972</f>
        <v>836.02099999999996</v>
      </c>
      <c r="G971" s="196">
        <f t="shared" ref="G971:H974" si="378">G972</f>
        <v>819.83798999999999</v>
      </c>
      <c r="H971" s="196">
        <f t="shared" si="378"/>
        <v>836.02099999999996</v>
      </c>
      <c r="I971" s="192">
        <f>H971/F971*100</f>
        <v>100</v>
      </c>
    </row>
    <row r="972" spans="1:9">
      <c r="A972" s="69" t="s">
        <v>363</v>
      </c>
      <c r="B972" s="21" t="s">
        <v>748</v>
      </c>
      <c r="C972" s="21" t="s">
        <v>78</v>
      </c>
      <c r="D972" s="21"/>
      <c r="E972" s="21"/>
      <c r="F972" s="38">
        <f>F973</f>
        <v>836.02099999999996</v>
      </c>
      <c r="G972" s="38">
        <f t="shared" si="378"/>
        <v>819.83798999999999</v>
      </c>
      <c r="H972" s="38">
        <f t="shared" si="378"/>
        <v>836.02099999999996</v>
      </c>
      <c r="I972" s="38">
        <f>H972/F972*100</f>
        <v>100</v>
      </c>
    </row>
    <row r="973" spans="1:9">
      <c r="A973" s="69" t="s">
        <v>746</v>
      </c>
      <c r="B973" s="21" t="s">
        <v>748</v>
      </c>
      <c r="C973" s="21" t="s">
        <v>78</v>
      </c>
      <c r="D973" s="21" t="s">
        <v>76</v>
      </c>
      <c r="E973" s="21"/>
      <c r="F973" s="38">
        <f>F974</f>
        <v>836.02099999999996</v>
      </c>
      <c r="G973" s="38">
        <f t="shared" si="378"/>
        <v>819.83798999999999</v>
      </c>
      <c r="H973" s="38">
        <f t="shared" si="378"/>
        <v>836.02099999999996</v>
      </c>
      <c r="I973" s="38">
        <f t="shared" ref="I973:I975" si="379">H973/F973*100</f>
        <v>100</v>
      </c>
    </row>
    <row r="974" spans="1:9" ht="36">
      <c r="A974" s="72" t="s">
        <v>79</v>
      </c>
      <c r="B974" s="28" t="s">
        <v>748</v>
      </c>
      <c r="C974" s="28" t="s">
        <v>78</v>
      </c>
      <c r="D974" s="28" t="s">
        <v>76</v>
      </c>
      <c r="E974" s="28" t="s">
        <v>80</v>
      </c>
      <c r="F974" s="37">
        <f>F975</f>
        <v>836.02099999999996</v>
      </c>
      <c r="G974" s="37">
        <f t="shared" si="378"/>
        <v>819.83798999999999</v>
      </c>
      <c r="H974" s="37">
        <f t="shared" si="378"/>
        <v>836.02099999999996</v>
      </c>
      <c r="I974" s="37">
        <f t="shared" si="379"/>
        <v>100</v>
      </c>
    </row>
    <row r="975" spans="1:9">
      <c r="A975" s="72" t="s">
        <v>81</v>
      </c>
      <c r="B975" s="28" t="s">
        <v>748</v>
      </c>
      <c r="C975" s="28" t="s">
        <v>78</v>
      </c>
      <c r="D975" s="28" t="s">
        <v>76</v>
      </c>
      <c r="E975" s="28" t="s">
        <v>82</v>
      </c>
      <c r="F975" s="37">
        <v>836.02099999999996</v>
      </c>
      <c r="G975" s="37">
        <v>819.83798999999999</v>
      </c>
      <c r="H975" s="37">
        <v>836.02099999999996</v>
      </c>
      <c r="I975" s="37">
        <f t="shared" si="379"/>
        <v>100</v>
      </c>
    </row>
    <row r="976" spans="1:9">
      <c r="A976" s="210"/>
      <c r="B976" s="89"/>
      <c r="C976" s="89"/>
      <c r="D976" s="89"/>
      <c r="E976" s="89"/>
    </row>
    <row r="977" spans="1:5">
      <c r="A977" s="30"/>
      <c r="B977" s="30"/>
      <c r="C977" s="30"/>
      <c r="D977" s="30"/>
      <c r="E977" s="30"/>
    </row>
    <row r="978" spans="1:5" ht="15.75">
      <c r="A978" s="258" t="s">
        <v>796</v>
      </c>
      <c r="B978" s="258"/>
      <c r="C978" s="258"/>
      <c r="D978" s="89"/>
      <c r="E978" s="89"/>
    </row>
    <row r="979" spans="1:5">
      <c r="C979" s="13"/>
      <c r="D979" s="13"/>
      <c r="E979" s="13"/>
    </row>
    <row r="980" spans="1:5">
      <c r="C980" s="13"/>
      <c r="D980" s="13"/>
      <c r="E980" s="13"/>
    </row>
    <row r="981" spans="1:5">
      <c r="C981" s="13"/>
      <c r="D981" s="13"/>
      <c r="E981" s="13"/>
    </row>
    <row r="982" spans="1:5">
      <c r="C982" s="13"/>
      <c r="D982" s="13"/>
      <c r="E982" s="13"/>
    </row>
    <row r="983" spans="1:5">
      <c r="C983" s="13"/>
      <c r="D983" s="13"/>
      <c r="E983" s="13"/>
    </row>
    <row r="984" spans="1:5">
      <c r="C984" s="13"/>
      <c r="D984" s="13"/>
      <c r="E984" s="13"/>
    </row>
    <row r="985" spans="1:5">
      <c r="C985" s="13"/>
      <c r="D985" s="13"/>
      <c r="E985" s="13"/>
    </row>
    <row r="986" spans="1:5">
      <c r="C986" s="13"/>
      <c r="D986" s="13"/>
      <c r="E986" s="13"/>
    </row>
    <row r="987" spans="1:5">
      <c r="C987" s="13"/>
      <c r="D987" s="13"/>
      <c r="E987" s="13"/>
    </row>
    <row r="988" spans="1:5">
      <c r="C988" s="13"/>
      <c r="D988" s="13"/>
      <c r="E988" s="13"/>
    </row>
    <row r="989" spans="1:5">
      <c r="C989" s="13"/>
      <c r="D989" s="13"/>
      <c r="E989" s="13"/>
    </row>
    <row r="990" spans="1:5">
      <c r="C990" s="13"/>
      <c r="D990" s="13"/>
      <c r="E990" s="13"/>
    </row>
    <row r="991" spans="1:5">
      <c r="C991" s="13"/>
      <c r="D991" s="13"/>
      <c r="E991" s="13"/>
    </row>
    <row r="992" spans="1:5">
      <c r="C992" s="13"/>
      <c r="D992" s="13"/>
      <c r="E992" s="13"/>
    </row>
    <row r="993" spans="3:5">
      <c r="C993" s="13"/>
      <c r="D993" s="13"/>
      <c r="E993" s="13"/>
    </row>
    <row r="994" spans="3:5">
      <c r="C994" s="13"/>
      <c r="D994" s="13"/>
      <c r="E994" s="13"/>
    </row>
    <row r="995" spans="3:5">
      <c r="C995" s="13"/>
      <c r="D995" s="13"/>
      <c r="E995" s="13"/>
    </row>
    <row r="996" spans="3:5">
      <c r="C996" s="13"/>
      <c r="D996" s="13"/>
      <c r="E996" s="13"/>
    </row>
    <row r="997" spans="3:5">
      <c r="C997" s="13"/>
      <c r="D997" s="13"/>
      <c r="E997" s="13"/>
    </row>
    <row r="998" spans="3:5">
      <c r="C998" s="13"/>
      <c r="D998" s="13"/>
      <c r="E998" s="13"/>
    </row>
    <row r="999" spans="3:5">
      <c r="C999" s="13"/>
      <c r="D999" s="13"/>
      <c r="E999" s="13"/>
    </row>
    <row r="1000" spans="3:5">
      <c r="C1000" s="13"/>
      <c r="D1000" s="13"/>
      <c r="E1000" s="13"/>
    </row>
    <row r="1001" spans="3:5">
      <c r="C1001" s="13"/>
      <c r="D1001" s="13"/>
      <c r="E1001" s="13"/>
    </row>
    <row r="1002" spans="3:5">
      <c r="C1002" s="13"/>
      <c r="D1002" s="13"/>
      <c r="E1002" s="13"/>
    </row>
    <row r="1003" spans="3:5">
      <c r="C1003" s="13"/>
      <c r="D1003" s="13"/>
      <c r="E1003" s="13"/>
    </row>
    <row r="1004" spans="3:5">
      <c r="C1004" s="13"/>
      <c r="D1004" s="13"/>
      <c r="E1004" s="13"/>
    </row>
    <row r="1005" spans="3:5">
      <c r="C1005" s="13"/>
      <c r="D1005" s="13"/>
      <c r="E1005" s="13"/>
    </row>
    <row r="1006" spans="3:5">
      <c r="C1006" s="13"/>
      <c r="D1006" s="13"/>
      <c r="E1006" s="13"/>
    </row>
    <row r="1007" spans="3:5">
      <c r="C1007" s="13"/>
      <c r="D1007" s="13"/>
      <c r="E1007" s="13"/>
    </row>
    <row r="1008" spans="3:5">
      <c r="C1008" s="13"/>
      <c r="D1008" s="13"/>
      <c r="E1008" s="13"/>
    </row>
    <row r="1009" spans="3:5">
      <c r="C1009" s="13"/>
      <c r="D1009" s="13"/>
      <c r="E1009" s="13"/>
    </row>
    <row r="1010" spans="3:5">
      <c r="C1010" s="13"/>
      <c r="D1010" s="13"/>
      <c r="E1010" s="13"/>
    </row>
    <row r="1011" spans="3:5">
      <c r="C1011" s="13"/>
      <c r="D1011" s="13"/>
      <c r="E1011" s="13"/>
    </row>
    <row r="1012" spans="3:5">
      <c r="C1012" s="13"/>
      <c r="D1012" s="13"/>
      <c r="E1012" s="13"/>
    </row>
    <row r="1013" spans="3:5">
      <c r="C1013" s="13"/>
      <c r="D1013" s="13"/>
      <c r="E1013" s="13"/>
    </row>
    <row r="1014" spans="3:5">
      <c r="C1014" s="13"/>
      <c r="D1014" s="13"/>
      <c r="E1014" s="13"/>
    </row>
    <row r="1015" spans="3:5">
      <c r="C1015" s="13"/>
      <c r="D1015" s="13"/>
      <c r="E1015" s="13"/>
    </row>
    <row r="1016" spans="3:5">
      <c r="C1016" s="13"/>
      <c r="D1016" s="13"/>
      <c r="E1016" s="13"/>
    </row>
    <row r="1017" spans="3:5">
      <c r="C1017" s="13"/>
      <c r="D1017" s="13"/>
      <c r="E1017" s="13"/>
    </row>
    <row r="1018" spans="3:5">
      <c r="C1018" s="13"/>
      <c r="D1018" s="13"/>
      <c r="E1018" s="13"/>
    </row>
    <row r="1019" spans="3:5">
      <c r="C1019" s="13"/>
      <c r="D1019" s="13"/>
      <c r="E1019" s="13"/>
    </row>
    <row r="1020" spans="3:5">
      <c r="C1020" s="13"/>
      <c r="D1020" s="13"/>
      <c r="E1020" s="13"/>
    </row>
    <row r="1021" spans="3:5">
      <c r="C1021" s="13"/>
      <c r="D1021" s="13"/>
      <c r="E1021" s="13"/>
    </row>
    <row r="1022" spans="3:5">
      <c r="C1022" s="13"/>
      <c r="D1022" s="13"/>
      <c r="E1022" s="13"/>
    </row>
    <row r="1023" spans="3:5">
      <c r="C1023" s="13"/>
      <c r="D1023" s="13"/>
      <c r="E1023" s="13"/>
    </row>
    <row r="1024" spans="3:5">
      <c r="C1024" s="13"/>
      <c r="D1024" s="13"/>
      <c r="E1024" s="13"/>
    </row>
    <row r="1025" spans="3:5">
      <c r="C1025" s="13"/>
      <c r="D1025" s="13"/>
      <c r="E1025" s="13"/>
    </row>
    <row r="1026" spans="3:5">
      <c r="C1026" s="13"/>
      <c r="D1026" s="13"/>
      <c r="E1026" s="13"/>
    </row>
    <row r="1027" spans="3:5">
      <c r="C1027" s="13"/>
      <c r="D1027" s="13"/>
      <c r="E1027" s="13"/>
    </row>
    <row r="1028" spans="3:5">
      <c r="C1028" s="13"/>
      <c r="D1028" s="13"/>
      <c r="E1028" s="13"/>
    </row>
    <row r="1029" spans="3:5">
      <c r="C1029" s="13"/>
      <c r="D1029" s="13"/>
      <c r="E1029" s="13"/>
    </row>
    <row r="1030" spans="3:5">
      <c r="C1030" s="13"/>
      <c r="D1030" s="13"/>
      <c r="E1030" s="13"/>
    </row>
    <row r="1031" spans="3:5">
      <c r="C1031" s="13"/>
      <c r="D1031" s="13"/>
      <c r="E1031" s="13"/>
    </row>
    <row r="1032" spans="3:5">
      <c r="C1032" s="13"/>
      <c r="D1032" s="13"/>
      <c r="E1032" s="13"/>
    </row>
    <row r="1033" spans="3:5">
      <c r="C1033" s="13"/>
      <c r="D1033" s="13"/>
      <c r="E1033" s="13"/>
    </row>
    <row r="1034" spans="3:5">
      <c r="C1034" s="13"/>
      <c r="D1034" s="13"/>
      <c r="E1034" s="13"/>
    </row>
    <row r="1035" spans="3:5">
      <c r="C1035" s="13"/>
      <c r="D1035" s="13"/>
      <c r="E1035" s="13"/>
    </row>
    <row r="1036" spans="3:5">
      <c r="C1036" s="13"/>
      <c r="D1036" s="13"/>
      <c r="E1036" s="13"/>
    </row>
  </sheetData>
  <autoFilter ref="A5:F975"/>
  <mergeCells count="4">
    <mergeCell ref="A978:C978"/>
    <mergeCell ref="A1:I2"/>
    <mergeCell ref="A3:I3"/>
    <mergeCell ref="A4:I4"/>
  </mergeCells>
  <phoneticPr fontId="2" type="noConversion"/>
  <pageMargins left="0.59055118110236227" right="0.39370078740157483" top="0.39370078740157483" bottom="0.39370078740157483" header="0" footer="0"/>
  <pageSetup paperSize="9" scale="62" orientation="portrait" useFirstPageNumber="1" r:id="rId1"/>
  <headerFooter alignWithMargins="0">
    <oddFooter>&amp;C&amp;P</oddFooter>
  </headerFooter>
  <rowBreaks count="2" manualBreakCount="2">
    <brk id="682" max="8" man="1"/>
    <brk id="800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indexed="13"/>
  </sheetPr>
  <dimension ref="A2:G42"/>
  <sheetViews>
    <sheetView tabSelected="1" view="pageBreakPreview" zoomScale="130" zoomScaleNormal="130" zoomScaleSheetLayoutView="130" workbookViewId="0">
      <selection activeCell="B14" sqref="B14"/>
    </sheetView>
  </sheetViews>
  <sheetFormatPr defaultRowHeight="12.75"/>
  <cols>
    <col min="1" max="1" width="26.42578125" customWidth="1"/>
    <col min="2" max="2" width="63.7109375" customWidth="1"/>
    <col min="3" max="3" width="18" customWidth="1"/>
    <col min="4" max="4" width="16.140625" customWidth="1"/>
    <col min="5" max="5" width="15.42578125" customWidth="1"/>
  </cols>
  <sheetData>
    <row r="2" spans="1:7" ht="15.75">
      <c r="A2" s="263" t="s">
        <v>777</v>
      </c>
      <c r="B2" s="263"/>
      <c r="C2" s="263"/>
      <c r="D2" s="263"/>
      <c r="E2" s="263"/>
    </row>
    <row r="3" spans="1:7" ht="14.25" customHeight="1">
      <c r="A3" s="263" t="s">
        <v>469</v>
      </c>
      <c r="B3" s="263"/>
      <c r="C3" s="263"/>
      <c r="D3" s="263"/>
      <c r="E3" s="263"/>
    </row>
    <row r="4" spans="1:7" ht="15.75">
      <c r="A4" s="263" t="s">
        <v>532</v>
      </c>
      <c r="B4" s="263"/>
      <c r="C4" s="263"/>
      <c r="D4" s="263"/>
      <c r="E4" s="263"/>
    </row>
    <row r="5" spans="1:7" ht="13.5" customHeight="1">
      <c r="A5" s="261" t="s">
        <v>462</v>
      </c>
      <c r="B5" s="261"/>
      <c r="C5" s="261"/>
      <c r="D5" s="261"/>
      <c r="E5" s="261"/>
    </row>
    <row r="6" spans="1:7" ht="45.75" customHeight="1">
      <c r="A6" s="2" t="s">
        <v>461</v>
      </c>
      <c r="B6" s="3" t="s">
        <v>440</v>
      </c>
      <c r="C6" s="57" t="s">
        <v>778</v>
      </c>
      <c r="D6" s="224" t="s">
        <v>779</v>
      </c>
      <c r="E6" s="224" t="s">
        <v>780</v>
      </c>
    </row>
    <row r="7" spans="1:7" ht="31.5">
      <c r="A7" s="25" t="s">
        <v>441</v>
      </c>
      <c r="B7" s="26" t="s">
        <v>116</v>
      </c>
      <c r="C7" s="76">
        <f>C8+C13+C18+C22</f>
        <v>285359.78698000126</v>
      </c>
      <c r="D7" s="76">
        <f t="shared" ref="D7" si="0">D8+D13+D18+D22</f>
        <v>-193057.07569000032</v>
      </c>
      <c r="E7" s="76">
        <f t="shared" ref="E7" si="1">E8+E13+E18+E22</f>
        <v>127024.81000000006</v>
      </c>
      <c r="G7" s="257"/>
    </row>
    <row r="8" spans="1:7" s="6" customFormat="1" ht="31.5">
      <c r="A8" s="16" t="s">
        <v>442</v>
      </c>
      <c r="B8" s="5" t="s">
        <v>429</v>
      </c>
      <c r="C8" s="92">
        <f>C9+C11</f>
        <v>177706.00999999978</v>
      </c>
      <c r="D8" s="92">
        <f t="shared" ref="D8" si="2">D9+D11</f>
        <v>-500000</v>
      </c>
      <c r="E8" s="92">
        <f t="shared" ref="E8" si="3">E9+E11</f>
        <v>-6694.0096300006844</v>
      </c>
    </row>
    <row r="9" spans="1:7" ht="31.5">
      <c r="A9" s="17" t="s">
        <v>443</v>
      </c>
      <c r="B9" s="27" t="s">
        <v>117</v>
      </c>
      <c r="C9" s="91">
        <f>C10</f>
        <v>2506018</v>
      </c>
      <c r="D9" s="91">
        <f t="shared" ref="D9:E9" si="4">D10</f>
        <v>660809</v>
      </c>
      <c r="E9" s="91">
        <f t="shared" si="4"/>
        <v>2321617.9803699995</v>
      </c>
    </row>
    <row r="10" spans="1:7" ht="30.75" customHeight="1">
      <c r="A10" s="17" t="s">
        <v>444</v>
      </c>
      <c r="B10" s="27" t="s">
        <v>115</v>
      </c>
      <c r="C10" s="91">
        <f>280000+85809+85000+218000+182000+200000+110000+118345+180000+4400-118345+1160809</f>
        <v>2506018</v>
      </c>
      <c r="D10" s="91">
        <v>660809</v>
      </c>
      <c r="E10" s="91">
        <f>280000+85809+85000+218000+182000+200000+110000+118345+180000+4400-118345+1160809-4400-21992.92963-151313.1-6693.99</f>
        <v>2321617.9803699995</v>
      </c>
    </row>
    <row r="11" spans="1:7" ht="30.75" customHeight="1">
      <c r="A11" s="17" t="s">
        <v>445</v>
      </c>
      <c r="B11" s="27" t="s">
        <v>118</v>
      </c>
      <c r="C11" s="91">
        <f>C12</f>
        <v>-2328311.9900000002</v>
      </c>
      <c r="D11" s="91">
        <f t="shared" ref="D11:E11" si="5">D12</f>
        <v>-1160809</v>
      </c>
      <c r="E11" s="91">
        <f t="shared" si="5"/>
        <v>-2328311.9900000002</v>
      </c>
    </row>
    <row r="12" spans="1:7" ht="30.75" customHeight="1">
      <c r="A12" s="17" t="s">
        <v>446</v>
      </c>
      <c r="B12" s="27" t="s">
        <v>120</v>
      </c>
      <c r="C12" s="91">
        <f>-280000-85809-85000-218000-182000-200000-110000-118345+118345-1160809-6693.99</f>
        <v>-2328311.9900000002</v>
      </c>
      <c r="D12" s="91">
        <v>-1160809</v>
      </c>
      <c r="E12" s="91">
        <f>-280000-85809-85000-218000-182000-200000-110000-118345+118345-1160809-6693.99</f>
        <v>-2328311.9900000002</v>
      </c>
    </row>
    <row r="13" spans="1:7" ht="33" customHeight="1">
      <c r="A13" s="16" t="s">
        <v>447</v>
      </c>
      <c r="B13" s="5" t="s">
        <v>210</v>
      </c>
      <c r="C13" s="92">
        <f>C16+C14</f>
        <v>-4400</v>
      </c>
      <c r="D13" s="92">
        <f t="shared" ref="D13" si="6">D16+D14</f>
        <v>500000</v>
      </c>
      <c r="E13" s="92">
        <f t="shared" ref="E13" si="7">E16+E14</f>
        <v>-4400</v>
      </c>
    </row>
    <row r="14" spans="1:7" ht="37.5" customHeight="1">
      <c r="A14" s="15" t="s">
        <v>207</v>
      </c>
      <c r="B14" s="75" t="s">
        <v>295</v>
      </c>
      <c r="C14" s="91">
        <f>C15</f>
        <v>1155938</v>
      </c>
      <c r="D14" s="91">
        <f t="shared" ref="D14:E14" si="8">D15</f>
        <v>718646</v>
      </c>
      <c r="E14" s="91">
        <f t="shared" si="8"/>
        <v>718646</v>
      </c>
    </row>
    <row r="15" spans="1:7" ht="50.25" customHeight="1">
      <c r="A15" s="15" t="s">
        <v>206</v>
      </c>
      <c r="B15" s="75" t="s">
        <v>296</v>
      </c>
      <c r="C15" s="91">
        <f>218646+500000+218646+218646</f>
        <v>1155938</v>
      </c>
      <c r="D15" s="91">
        <v>718646</v>
      </c>
      <c r="E15" s="91">
        <f>218646+500000+218646+218646-218646-218646</f>
        <v>718646</v>
      </c>
    </row>
    <row r="16" spans="1:7" ht="48.75" customHeight="1">
      <c r="A16" s="17" t="s">
        <v>208</v>
      </c>
      <c r="B16" s="75" t="s">
        <v>298</v>
      </c>
      <c r="C16" s="91">
        <f>C17</f>
        <v>-1160338</v>
      </c>
      <c r="D16" s="91">
        <f t="shared" ref="D16:E16" si="9">D17</f>
        <v>-218646</v>
      </c>
      <c r="E16" s="91">
        <f t="shared" si="9"/>
        <v>-723046</v>
      </c>
    </row>
    <row r="17" spans="1:5" ht="46.5" customHeight="1">
      <c r="A17" s="17" t="s">
        <v>209</v>
      </c>
      <c r="B17" s="75" t="s">
        <v>299</v>
      </c>
      <c r="C17" s="91">
        <f>-218646-4400-500000-218646-218646</f>
        <v>-1160338</v>
      </c>
      <c r="D17" s="91">
        <v>-218646</v>
      </c>
      <c r="E17" s="91">
        <f>-218646-4400-500000-218646-218646+218646+218646</f>
        <v>-723046</v>
      </c>
    </row>
    <row r="18" spans="1:5" s="4" customFormat="1" ht="30.75" customHeight="1">
      <c r="A18" s="16" t="s">
        <v>365</v>
      </c>
      <c r="B18" s="34" t="s">
        <v>156</v>
      </c>
      <c r="C18" s="92">
        <f>C19</f>
        <v>0</v>
      </c>
      <c r="D18" s="92">
        <f t="shared" ref="D18:E20" si="10">D19</f>
        <v>0</v>
      </c>
      <c r="E18" s="92">
        <f t="shared" si="10"/>
        <v>0</v>
      </c>
    </row>
    <row r="19" spans="1:5" s="4" customFormat="1" ht="30.75" customHeight="1">
      <c r="A19" s="17" t="s">
        <v>366</v>
      </c>
      <c r="B19" s="27" t="s">
        <v>367</v>
      </c>
      <c r="C19" s="91">
        <f>C20</f>
        <v>0</v>
      </c>
      <c r="D19" s="91">
        <f t="shared" si="10"/>
        <v>0</v>
      </c>
      <c r="E19" s="91">
        <f t="shared" si="10"/>
        <v>0</v>
      </c>
    </row>
    <row r="20" spans="1:5" s="4" customFormat="1" ht="30.75" customHeight="1">
      <c r="A20" s="17" t="s">
        <v>368</v>
      </c>
      <c r="B20" s="27" t="s">
        <v>369</v>
      </c>
      <c r="C20" s="91">
        <f>C21</f>
        <v>0</v>
      </c>
      <c r="D20" s="91">
        <f t="shared" si="10"/>
        <v>0</v>
      </c>
      <c r="E20" s="91">
        <f t="shared" si="10"/>
        <v>0</v>
      </c>
    </row>
    <row r="21" spans="1:5" s="4" customFormat="1" ht="30.75" customHeight="1">
      <c r="A21" s="17" t="s">
        <v>370</v>
      </c>
      <c r="B21" s="27" t="s">
        <v>371</v>
      </c>
      <c r="C21" s="91">
        <v>0</v>
      </c>
      <c r="D21" s="91">
        <v>0</v>
      </c>
      <c r="E21" s="91"/>
    </row>
    <row r="22" spans="1:5" s="4" customFormat="1" ht="30.75" customHeight="1">
      <c r="A22" s="12" t="s">
        <v>448</v>
      </c>
      <c r="B22" s="94" t="s">
        <v>449</v>
      </c>
      <c r="C22" s="95">
        <f>C26+C30</f>
        <v>112053.77698000148</v>
      </c>
      <c r="D22" s="95">
        <f t="shared" ref="D22" si="11">D26+D30</f>
        <v>-193057.07569000032</v>
      </c>
      <c r="E22" s="95">
        <f t="shared" ref="E22" si="12">E26+E30</f>
        <v>138118.81963000074</v>
      </c>
    </row>
    <row r="23" spans="1:5" s="4" customFormat="1" ht="21" customHeight="1">
      <c r="A23" s="74" t="s">
        <v>190</v>
      </c>
      <c r="B23" s="96" t="s">
        <v>191</v>
      </c>
      <c r="C23" s="97">
        <f>C24</f>
        <v>-9235085.9756700005</v>
      </c>
      <c r="D23" s="97">
        <f t="shared" ref="D23:E25" si="13">D24</f>
        <v>-5761626.0450400002</v>
      </c>
      <c r="E23" s="97">
        <f t="shared" si="13"/>
        <v>-8459298.1803699993</v>
      </c>
    </row>
    <row r="24" spans="1:5" s="4" customFormat="1" ht="18" customHeight="1">
      <c r="A24" s="74" t="s">
        <v>192</v>
      </c>
      <c r="B24" s="96" t="s">
        <v>193</v>
      </c>
      <c r="C24" s="97">
        <f>C25</f>
        <v>-9235085.9756700005</v>
      </c>
      <c r="D24" s="97">
        <f t="shared" si="13"/>
        <v>-5761626.0450400002</v>
      </c>
      <c r="E24" s="97">
        <f t="shared" si="13"/>
        <v>-8459298.1803699993</v>
      </c>
    </row>
    <row r="25" spans="1:5" s="4" customFormat="1" ht="17.25" customHeight="1">
      <c r="A25" s="74" t="s">
        <v>194</v>
      </c>
      <c r="B25" s="96" t="s">
        <v>195</v>
      </c>
      <c r="C25" s="97">
        <f>C26</f>
        <v>-9235085.9756700005</v>
      </c>
      <c r="D25" s="97">
        <f t="shared" si="13"/>
        <v>-5761626.0450400002</v>
      </c>
      <c r="E25" s="97">
        <f t="shared" si="13"/>
        <v>-8459298.1803699993</v>
      </c>
    </row>
    <row r="26" spans="1:5" s="4" customFormat="1" ht="30.75" customHeight="1">
      <c r="A26" s="74" t="s">
        <v>196</v>
      </c>
      <c r="B26" s="96" t="s">
        <v>197</v>
      </c>
      <c r="C26" s="97">
        <f>-4998307-1463554-218646-50000-436-121377.1-30664.167-0.02-351.075-1711.5+118345-69.89247-85917.9798-150000-500000+0.02-218646-218646-836.021+6060.85-27113.54-8362.30672-71233.84368-32810.4-1160809</f>
        <v>-9235085.9756700005</v>
      </c>
      <c r="D26" s="97">
        <v>-5761626.0450400002</v>
      </c>
      <c r="E26" s="97">
        <f>-5419034.2-2506018-1155938+4400+21992.92963+151313.1+6693.99+218646+218646</f>
        <v>-8459298.1803699993</v>
      </c>
    </row>
    <row r="27" spans="1:5" s="4" customFormat="1" ht="15.75" customHeight="1">
      <c r="A27" s="74" t="s">
        <v>198</v>
      </c>
      <c r="B27" s="96" t="s">
        <v>199</v>
      </c>
      <c r="C27" s="97">
        <f>C28</f>
        <v>9347139.752650002</v>
      </c>
      <c r="D27" s="97">
        <f t="shared" ref="D27:E29" si="14">D28</f>
        <v>5568568.9693499999</v>
      </c>
      <c r="E27" s="97">
        <f t="shared" si="14"/>
        <v>8597417</v>
      </c>
    </row>
    <row r="28" spans="1:5" s="4" customFormat="1" ht="14.25" customHeight="1">
      <c r="A28" s="74" t="s">
        <v>200</v>
      </c>
      <c r="B28" s="96" t="s">
        <v>201</v>
      </c>
      <c r="C28" s="97">
        <f>C29</f>
        <v>9347139.752650002</v>
      </c>
      <c r="D28" s="97">
        <f t="shared" si="14"/>
        <v>5568568.9693499999</v>
      </c>
      <c r="E28" s="97">
        <f t="shared" si="14"/>
        <v>8597417</v>
      </c>
    </row>
    <row r="29" spans="1:5" s="4" customFormat="1" ht="15" customHeight="1">
      <c r="A29" s="74" t="s">
        <v>202</v>
      </c>
      <c r="B29" s="96" t="s">
        <v>203</v>
      </c>
      <c r="C29" s="97">
        <f>C30</f>
        <v>9347139.752650002</v>
      </c>
      <c r="D29" s="97">
        <f t="shared" si="14"/>
        <v>5568568.9693499999</v>
      </c>
      <c r="E29" s="97">
        <f t="shared" si="14"/>
        <v>8597417</v>
      </c>
    </row>
    <row r="30" spans="1:5" s="4" customFormat="1" ht="30.75" customHeight="1">
      <c r="A30" s="74" t="s">
        <v>204</v>
      </c>
      <c r="B30" s="96" t="s">
        <v>205</v>
      </c>
      <c r="C30" s="97">
        <f>5178307+1279154+218646+4400+50000+436+121377.1+30664.167+0.02+351.075+1711.5+8181.06419-118345+69.89247+85917.9798+150000+11721.779+28526.696+500000-0.02+218646+218646+836.021+2759.09079+54171.157-6060.85+27113.54+8362.30672+71233.84368+32810.4+1160809+6693.99</f>
        <v>9347139.752650002</v>
      </c>
      <c r="D30" s="97">
        <v>5568568.9693499999</v>
      </c>
      <c r="E30" s="97">
        <f>5546059+2328312+723046</f>
        <v>8597417</v>
      </c>
    </row>
    <row r="31" spans="1:5" s="4" customFormat="1" ht="14.25" customHeight="1">
      <c r="A31" s="84"/>
      <c r="B31" s="85"/>
      <c r="C31" s="86"/>
    </row>
    <row r="32" spans="1:5" s="4" customFormat="1" ht="18.75" customHeight="1">
      <c r="A32" s="258" t="s">
        <v>796</v>
      </c>
      <c r="B32" s="258"/>
      <c r="C32" s="258"/>
    </row>
    <row r="33" spans="3:3" s="4" customFormat="1">
      <c r="C33" s="24"/>
    </row>
    <row r="34" spans="3:3" s="4" customFormat="1">
      <c r="C34" s="24"/>
    </row>
    <row r="35" spans="3:3" s="4" customFormat="1">
      <c r="C35" s="24"/>
    </row>
    <row r="36" spans="3:3" s="4" customFormat="1">
      <c r="C36" s="24"/>
    </row>
    <row r="37" spans="3:3" s="4" customFormat="1">
      <c r="C37" s="24"/>
    </row>
    <row r="38" spans="3:3" s="4" customFormat="1">
      <c r="C38" s="24"/>
    </row>
    <row r="39" spans="3:3" s="4" customFormat="1">
      <c r="C39" s="24"/>
    </row>
    <row r="40" spans="3:3">
      <c r="C40" s="18"/>
    </row>
    <row r="41" spans="3:3">
      <c r="C41" s="18"/>
    </row>
    <row r="42" spans="3:3">
      <c r="C42" s="18"/>
    </row>
  </sheetData>
  <mergeCells count="5">
    <mergeCell ref="A32:C32"/>
    <mergeCell ref="A5:E5"/>
    <mergeCell ref="A2:E2"/>
    <mergeCell ref="A3:E3"/>
    <mergeCell ref="A4:E4"/>
  </mergeCells>
  <phoneticPr fontId="2" type="noConversion"/>
  <pageMargins left="0.39370078740157483" right="0.39370078740157483" top="0.39370078740157483" bottom="0.39370078740157483" header="0" footer="0"/>
  <pageSetup paperSize="9" scale="65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Доходы 2020 </vt:lpstr>
      <vt:lpstr> Ведомственная 2020 </vt:lpstr>
      <vt:lpstr>Расходы 2020</vt:lpstr>
      <vt:lpstr>МП, ВЦП и НПР 2020</vt:lpstr>
      <vt:lpstr>Источники 2020</vt:lpstr>
      <vt:lpstr>' Ведомственная 2020 '!Заголовки_для_печати</vt:lpstr>
      <vt:lpstr>'МП, ВЦП и НПР 2020'!Заголовки_для_печати</vt:lpstr>
      <vt:lpstr>'Расходы 2020'!Заголовки_для_печати</vt:lpstr>
      <vt:lpstr>' Ведомственная 2020 '!Область_печати</vt:lpstr>
      <vt:lpstr>'Доходы 2020 '!Область_печати</vt:lpstr>
      <vt:lpstr>'МП, ВЦП и НПР 2020'!Область_печати</vt:lpstr>
      <vt:lpstr>'Расходы 2020'!Область_печати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Лариса Гостиева</cp:lastModifiedBy>
  <cp:lastPrinted>2020-12-01T06:16:56Z</cp:lastPrinted>
  <dcterms:created xsi:type="dcterms:W3CDTF">2010-10-28T10:47:01Z</dcterms:created>
  <dcterms:modified xsi:type="dcterms:W3CDTF">2020-12-01T06:17:29Z</dcterms:modified>
</cp:coreProperties>
</file>